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1740" yWindow="1485" windowWidth="21135" windowHeight="10785" firstSheet="2" activeTab="2"/>
  </bookViews>
  <sheets>
    <sheet name="Jurisdictional Study" sheetId="12" r:id="rId1"/>
    <sheet name="Functional Assignment" sheetId="1" r:id="rId2"/>
    <sheet name="Allocation ProForma" sheetId="2" r:id="rId3"/>
    <sheet name="Summary of Returns" sheetId="23" r:id="rId4"/>
    <sheet name="Res Unit Costs" sheetId="14" r:id="rId5"/>
    <sheet name="GS Unit Costs" sheetId="15" r:id="rId6"/>
    <sheet name="AES Unit Costs" sheetId="16" r:id="rId7"/>
    <sheet name="PSS Unit Costs" sheetId="17" r:id="rId8"/>
    <sheet name="PSP Unit Costs" sheetId="19" r:id="rId9"/>
    <sheet name="TODS Unit Costs" sheetId="20" r:id="rId10"/>
    <sheet name="TODP Unit Costs" sheetId="21" r:id="rId11"/>
    <sheet name="RTS Unit Costs" sheetId="25" r:id="rId12"/>
    <sheet name="FLS Unit Costs" sheetId="26" r:id="rId13"/>
    <sheet name="Billing Det" sheetId="8" r:id="rId14"/>
    <sheet name="Meters" sheetId="6" r:id="rId15"/>
    <sheet name="Services" sheetId="7" r:id="rId16"/>
    <sheet name="Lighting" sheetId="10" r:id="rId17"/>
    <sheet name="Customer Accounting" sheetId="11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" localSheetId="6">[1]EGSplit!#REF!</definedName>
    <definedName name="\" localSheetId="12">[1]EGSplit!#REF!</definedName>
    <definedName name="\" localSheetId="5">[1]EGSplit!#REF!</definedName>
    <definedName name="\" localSheetId="8">[1]EGSplit!#REF!</definedName>
    <definedName name="\" localSheetId="7">[1]EGSplit!#REF!</definedName>
    <definedName name="\" localSheetId="11">[1]EGSplit!#REF!</definedName>
    <definedName name="\" localSheetId="10">[1]EGSplit!#REF!</definedName>
    <definedName name="\" localSheetId="9">[1]EGSplit!#REF!</definedName>
    <definedName name="\">[1]EGSplit!#REF!</definedName>
    <definedName name="\\" hidden="1">#REF!</definedName>
    <definedName name="\\\" hidden="1">#REF!</definedName>
    <definedName name="\\\\" localSheetId="6" hidden="1">#REF!</definedName>
    <definedName name="\\\\" localSheetId="12" hidden="1">#REF!</definedName>
    <definedName name="\\\\" localSheetId="5" hidden="1">#REF!</definedName>
    <definedName name="\\\\" localSheetId="8" hidden="1">#REF!</definedName>
    <definedName name="\\\\" localSheetId="7" hidden="1">#REF!</definedName>
    <definedName name="\\\\" localSheetId="11" hidden="1">#REF!</definedName>
    <definedName name="\\\\" localSheetId="10" hidden="1">#REF!</definedName>
    <definedName name="\\\\" localSheetId="9" hidden="1">#REF!</definedName>
    <definedName name="\\\\" hidden="1">#REF!</definedName>
    <definedName name="\0">#REF!</definedName>
    <definedName name="\A">#REF!</definedName>
    <definedName name="\C">#REF!</definedName>
    <definedName name="\D">#REF!</definedName>
    <definedName name="\E">#REF!</definedName>
    <definedName name="\M">#REF!</definedName>
    <definedName name="\P" localSheetId="6">[2]dbase!#REF!</definedName>
    <definedName name="\P" localSheetId="12">[2]dbase!#REF!</definedName>
    <definedName name="\P" localSheetId="5">[2]dbase!#REF!</definedName>
    <definedName name="\P" localSheetId="8">[2]dbase!#REF!</definedName>
    <definedName name="\P" localSheetId="7">[2]dbase!#REF!</definedName>
    <definedName name="\P" localSheetId="11">[2]dbase!#REF!</definedName>
    <definedName name="\P" localSheetId="10">[2]dbase!#REF!</definedName>
    <definedName name="\P" localSheetId="9">[2]dbase!#REF!</definedName>
    <definedName name="\P">[2]dbase!#REF!</definedName>
    <definedName name="\R" localSheetId="6">#REF!</definedName>
    <definedName name="\R" localSheetId="12">#REF!</definedName>
    <definedName name="\R" localSheetId="5">#REF!</definedName>
    <definedName name="\R" localSheetId="8">#REF!</definedName>
    <definedName name="\R" localSheetId="7">#REF!</definedName>
    <definedName name="\R" localSheetId="11">#REF!</definedName>
    <definedName name="\R" localSheetId="10">#REF!</definedName>
    <definedName name="\R" localSheetId="9">#REF!</definedName>
    <definedName name="\R">#REF!</definedName>
    <definedName name="\S" localSheetId="6">[2]dbase!#REF!</definedName>
    <definedName name="\S" localSheetId="12">[2]dbase!#REF!</definedName>
    <definedName name="\S" localSheetId="5">[2]dbase!#REF!</definedName>
    <definedName name="\S" localSheetId="8">[2]dbase!#REF!</definedName>
    <definedName name="\S" localSheetId="7">[2]dbase!#REF!</definedName>
    <definedName name="\S" localSheetId="11">[2]dbase!#REF!</definedName>
    <definedName name="\S" localSheetId="10">[2]dbase!#REF!</definedName>
    <definedName name="\S" localSheetId="9">[2]dbase!#REF!</definedName>
    <definedName name="\S">[2]dbase!#REF!</definedName>
    <definedName name="\T">#REF!</definedName>
    <definedName name="\Y" localSheetId="6">[3]d20!#REF!</definedName>
    <definedName name="\Y" localSheetId="12">[3]d20!#REF!</definedName>
    <definedName name="\Y" localSheetId="5">[3]d20!#REF!</definedName>
    <definedName name="\Y" localSheetId="8">[3]d20!#REF!</definedName>
    <definedName name="\Y" localSheetId="7">[3]d20!#REF!</definedName>
    <definedName name="\Y" localSheetId="11">[3]d20!#REF!</definedName>
    <definedName name="\Y" localSheetId="10">[3]d20!#REF!</definedName>
    <definedName name="\Y" localSheetId="9">[3]d20!#REF!</definedName>
    <definedName name="\Y">[3]d20!#REF!</definedName>
    <definedName name="__123Graph_A" hidden="1">#REF!</definedName>
    <definedName name="__123Graph_B" hidden="1">#REF!</definedName>
    <definedName name="__123Graph_C" localSheetId="6" hidden="1">#REF!</definedName>
    <definedName name="__123Graph_C" localSheetId="12" hidden="1">#REF!</definedName>
    <definedName name="__123Graph_C" localSheetId="5" hidden="1">#REF!</definedName>
    <definedName name="__123Graph_C" localSheetId="8" hidden="1">#REF!</definedName>
    <definedName name="__123Graph_C" localSheetId="7" hidden="1">#REF!</definedName>
    <definedName name="__123Graph_C" localSheetId="11" hidden="1">#REF!</definedName>
    <definedName name="__123Graph_C" localSheetId="10" hidden="1">#REF!</definedName>
    <definedName name="__123Graph_C" localSheetId="9" hidden="1">#REF!</definedName>
    <definedName name="__123Graph_C" hidden="1">#REF!</definedName>
    <definedName name="__123Graph_D" hidden="1">#REF!</definedName>
    <definedName name="__123Graph_E" localSheetId="6" hidden="1">#REF!</definedName>
    <definedName name="__123Graph_E" localSheetId="12" hidden="1">#REF!</definedName>
    <definedName name="__123Graph_E" localSheetId="5" hidden="1">#REF!</definedName>
    <definedName name="__123Graph_E" localSheetId="8" hidden="1">#REF!</definedName>
    <definedName name="__123Graph_E" localSheetId="7" hidden="1">#REF!</definedName>
    <definedName name="__123Graph_E" localSheetId="11" hidden="1">#REF!</definedName>
    <definedName name="__123Graph_E" localSheetId="10" hidden="1">#REF!</definedName>
    <definedName name="__123Graph_E" localSheetId="9" hidden="1">#REF!</definedName>
    <definedName name="__123Graph_E" hidden="1">#REF!</definedName>
    <definedName name="__123Graph_F" hidden="1">#REF!</definedName>
    <definedName name="__123Graph_X" hidden="1">#REF!</definedName>
    <definedName name="_10NON_UTILITY">#REF!</definedName>
    <definedName name="_1GAS_FINANCING">#REF!</definedName>
    <definedName name="_2NON_UTILITY" localSheetId="6">#REF!</definedName>
    <definedName name="_3NON_UTILITY" localSheetId="12">#REF!</definedName>
    <definedName name="_4NON_UTILITY" localSheetId="5">#REF!</definedName>
    <definedName name="_5NON_UTILITY" localSheetId="8">#REF!</definedName>
    <definedName name="_6NON_UTILITY" localSheetId="7">#REF!</definedName>
    <definedName name="_7NON_UTILITY" localSheetId="11">#REF!</definedName>
    <definedName name="_8NON_UTILITY" localSheetId="10">#REF!</definedName>
    <definedName name="_9NON_UTILITY" localSheetId="9">#REF!</definedName>
    <definedName name="_xlnm._FilterDatabase" localSheetId="2" hidden="1">'Allocation ProForma'!$D$2:$E$1356</definedName>
    <definedName name="_xlnm._FilterDatabase" localSheetId="1" hidden="1">'Functional Assignment'!$C$1:$C$666</definedName>
    <definedName name="_may1">#REF!</definedName>
    <definedName name="_Order1" hidden="1">0</definedName>
    <definedName name="_Order2" hidden="1">0</definedName>
    <definedName name="_P" localSheetId="6">#REF!</definedName>
    <definedName name="_P" localSheetId="12">#REF!</definedName>
    <definedName name="_P" localSheetId="5">#REF!</definedName>
    <definedName name="_P" localSheetId="8">#REF!</definedName>
    <definedName name="_P" localSheetId="7">#REF!</definedName>
    <definedName name="_P" localSheetId="11">#REF!</definedName>
    <definedName name="_P" localSheetId="10">#REF!</definedName>
    <definedName name="_P" localSheetId="9">#REF!</definedName>
    <definedName name="_P">#REF!</definedName>
    <definedName name="_PG1">#REF!</definedName>
    <definedName name="_PG2">#REF!</definedName>
    <definedName name="A">#REF!</definedName>
    <definedName name="ACTUAL">"'Vol_Revs'!R5C3:R5C14"</definedName>
    <definedName name="ADJSUTW3">#REF!</definedName>
    <definedName name="ADJUSRN">#REF!</definedName>
    <definedName name="Adjust2" localSheetId="6">#REF!</definedName>
    <definedName name="Adjust2" localSheetId="12">#REF!</definedName>
    <definedName name="Adjust2" localSheetId="5">#REF!</definedName>
    <definedName name="Adjust2" localSheetId="8">#REF!</definedName>
    <definedName name="Adjust2" localSheetId="7">#REF!</definedName>
    <definedName name="Adjust2" localSheetId="11">#REF!</definedName>
    <definedName name="Adjust2" localSheetId="10">#REF!</definedName>
    <definedName name="Adjust2" localSheetId="9">#REF!</definedName>
    <definedName name="Adjust2">#REF!</definedName>
    <definedName name="ADJUSTA">#REF!</definedName>
    <definedName name="ADJUSTAA">#REF!</definedName>
    <definedName name="ADJUSTB" localSheetId="6">#REF!</definedName>
    <definedName name="ADJUSTB" localSheetId="12">#REF!</definedName>
    <definedName name="ADJUSTB" localSheetId="5">#REF!</definedName>
    <definedName name="ADJUSTB" localSheetId="8">#REF!</definedName>
    <definedName name="ADJUSTB" localSheetId="7">#REF!</definedName>
    <definedName name="ADJUSTB" localSheetId="11">#REF!</definedName>
    <definedName name="ADJUSTB" localSheetId="10">#REF!</definedName>
    <definedName name="ADJUSTB" localSheetId="9">#REF!</definedName>
    <definedName name="ADJUSTB">#REF!</definedName>
    <definedName name="ADJUSTC">#REF!</definedName>
    <definedName name="ADJUSTD1">#REF!</definedName>
    <definedName name="ADJUSTD2">#REF!</definedName>
    <definedName name="ADJUSTD3">#REF!</definedName>
    <definedName name="ADJUSTD4">#REF!</definedName>
    <definedName name="ADJUSTG1">#REF!</definedName>
    <definedName name="ADJUSTG2">#REF!</definedName>
    <definedName name="ADJUSTG3">#REF!</definedName>
    <definedName name="ADJUSTG4">#REF!</definedName>
    <definedName name="ADJUSTH">#REF!</definedName>
    <definedName name="ADJUSTI">#REF!</definedName>
    <definedName name="ADJUSTK">#REF!</definedName>
    <definedName name="ADJUSTM">#REF!</definedName>
    <definedName name="ADJUSTN">#REF!</definedName>
    <definedName name="ADJUSTO">#REF!</definedName>
    <definedName name="ADJUSTP">#REF!</definedName>
    <definedName name="ADJUSTQ">#REF!</definedName>
    <definedName name="ADJUSTR">#REF!</definedName>
    <definedName name="ADJUSTS" localSheetId="6">#REF!</definedName>
    <definedName name="ADJUSTS" localSheetId="12">#REF!</definedName>
    <definedName name="ADJUSTS" localSheetId="5">#REF!</definedName>
    <definedName name="ADJUSTS" localSheetId="8">#REF!</definedName>
    <definedName name="ADJUSTS" localSheetId="7">#REF!</definedName>
    <definedName name="ADJUSTS" localSheetId="11">#REF!</definedName>
    <definedName name="ADJUSTS" localSheetId="10">#REF!</definedName>
    <definedName name="ADJUSTS" localSheetId="9">#REF!</definedName>
    <definedName name="ADJUSTS">#REF!</definedName>
    <definedName name="ADJUSTT">#REF!</definedName>
    <definedName name="ADJUSTW1">#REF!</definedName>
    <definedName name="ADJUSTW2">#REF!</definedName>
    <definedName name="ADJUSTX">#REF!</definedName>
    <definedName name="ADJUSTY">#REF!</definedName>
    <definedName name="ALERT2">#REF!</definedName>
    <definedName name="Annual_Sales_KU" localSheetId="6">'[4]LGE Sales'!#REF!</definedName>
    <definedName name="Annual_Sales_KU" localSheetId="12">'[4]LGE Sales'!#REF!</definedName>
    <definedName name="Annual_Sales_KU" localSheetId="5">'[4]LGE Sales'!#REF!</definedName>
    <definedName name="Annual_Sales_KU" localSheetId="8">'[4]LGE Sales'!#REF!</definedName>
    <definedName name="Annual_Sales_KU" localSheetId="7">'[4]LGE Sales'!#REF!</definedName>
    <definedName name="Annual_Sales_KU" localSheetId="11">'[4]LGE Sales'!#REF!</definedName>
    <definedName name="Annual_Sales_KU" localSheetId="10">'[4]LGE Sales'!#REF!</definedName>
    <definedName name="Annual_Sales_KU" localSheetId="9">'[4]LGE Sales'!#REF!</definedName>
    <definedName name="Annual_Sales_KU">'[4]LGE Sales'!#REF!</definedName>
    <definedName name="assets">#REF!</definedName>
    <definedName name="B">#REF!</definedName>
    <definedName name="Billed_Revenues_Dollars">#REF!</definedName>
    <definedName name="Billed_Sales__KWh">#REF!</definedName>
    <definedName name="BudCol01">[5]BudgetDatabase!$J$5:$J$443</definedName>
    <definedName name="BudCol02">[5]BudgetDatabase!$K$5:$K$443</definedName>
    <definedName name="BudCol03">[5]BudgetDatabase!$L$5:$L$443</definedName>
    <definedName name="BudCol04">[5]BudgetDatabase!$M$5:$M$443</definedName>
    <definedName name="BudCol05">[5]BudgetDatabase!$N$5:$N$443</definedName>
    <definedName name="BudCol06">[5]BudgetDatabase!$O$5:$O$443</definedName>
    <definedName name="BudCol07">[5]BudgetDatabase!$P$5:$P$443</definedName>
    <definedName name="BudCol08">[5]BudgetDatabase!$Q$5:$Q$443</definedName>
    <definedName name="BudCol09">[5]BudgetDatabase!$R$5:$R$443</definedName>
    <definedName name="BudCol10">[5]BudgetDatabase!$S$5:$S$443</definedName>
    <definedName name="BudCol11">[5]BudgetDatabase!$T$5:$T$443</definedName>
    <definedName name="BudCol12">[5]BudgetDatabase!$U$5:$U$443</definedName>
    <definedName name="BudCol13">[5]BudgetDatabase!$V$5:$V$443</definedName>
    <definedName name="BudCol14">[5]BudgetDatabase!$W$5:$W$443</definedName>
    <definedName name="BudCol15">[5]BudgetDatabase!$X$5:$X$443</definedName>
    <definedName name="BudCol16">[5]BudgetDatabase!$Y$5:$Y$443</definedName>
    <definedName name="BudCol17">[5]BudgetDatabase!$Z$5:$Z$443</definedName>
    <definedName name="BudCol18">[5]BudgetDatabase!$AA$5:$AA$443</definedName>
    <definedName name="BudCol19">[5]BudgetDatabase!$AB$5:$AB$443</definedName>
    <definedName name="BudCol20">[5]BudgetDatabase!$AC$5:$AC$443</definedName>
    <definedName name="BudCol21">[5]BudgetDatabase!$AD$5:$AD$443</definedName>
    <definedName name="BudCol22">[5]BudgetDatabase!$AE$5:$AE$443</definedName>
    <definedName name="BudCol23">[5]BudgetDatabase!$AF$5:$AF$443</definedName>
    <definedName name="BudCol24">[5]BudgetDatabase!$AG$5:$AG$443</definedName>
    <definedName name="BudCol25">[5]BudgetDatabase!$AH$5:$AH$443</definedName>
    <definedName name="BudColTmp">[5]BudgetDatabase!$AJ$5:$AJ$443</definedName>
    <definedName name="C_">#REF!</definedName>
    <definedName name="Choices_Wrapper">[0]!Choices_Wrapper</definedName>
    <definedName name="CM">#REF!</definedName>
    <definedName name="Coal_Annual_KU" localSheetId="6">'[4]LGE Coal'!#REF!</definedName>
    <definedName name="Coal_Annual_KU" localSheetId="12">'[4]LGE Coal'!#REF!</definedName>
    <definedName name="Coal_Annual_KU" localSheetId="5">'[4]LGE Coal'!#REF!</definedName>
    <definedName name="Coal_Annual_KU" localSheetId="8">'[4]LGE Coal'!#REF!</definedName>
    <definedName name="Coal_Annual_KU" localSheetId="7">'[4]LGE Coal'!#REF!</definedName>
    <definedName name="Coal_Annual_KU" localSheetId="11">'[4]LGE Coal'!#REF!</definedName>
    <definedName name="Coal_Annual_KU" localSheetId="10">'[4]LGE Coal'!#REF!</definedName>
    <definedName name="Coal_Annual_KU" localSheetId="9">'[4]LGE Coal'!#REF!</definedName>
    <definedName name="Coal_Annual_KU">'[4]LGE Coal'!#REF!</definedName>
    <definedName name="coal_hide_ku_01" localSheetId="6">'[4]LGE Coal'!#REF!</definedName>
    <definedName name="coal_hide_ku_01" localSheetId="12">'[4]LGE Coal'!#REF!</definedName>
    <definedName name="coal_hide_ku_01" localSheetId="5">'[4]LGE Coal'!#REF!</definedName>
    <definedName name="coal_hide_ku_01" localSheetId="8">'[4]LGE Coal'!#REF!</definedName>
    <definedName name="coal_hide_ku_01" localSheetId="7">'[4]LGE Coal'!#REF!</definedName>
    <definedName name="coal_hide_ku_01" localSheetId="11">'[4]LGE Coal'!#REF!</definedName>
    <definedName name="coal_hide_ku_01" localSheetId="10">'[4]LGE Coal'!#REF!</definedName>
    <definedName name="coal_hide_ku_01" localSheetId="9">'[4]LGE Coal'!#REF!</definedName>
    <definedName name="coal_hide_ku_01">'[4]LGE Coal'!#REF!</definedName>
    <definedName name="coal_hide_lge_01" localSheetId="6">'[4]LGE Coal'!#REF!</definedName>
    <definedName name="coal_hide_lge_01" localSheetId="12">'[4]LGE Coal'!#REF!</definedName>
    <definedName name="coal_hide_lge_01" localSheetId="5">'[4]LGE Coal'!#REF!</definedName>
    <definedName name="coal_hide_lge_01" localSheetId="8">'[4]LGE Coal'!#REF!</definedName>
    <definedName name="coal_hide_lge_01" localSheetId="7">'[4]LGE Coal'!#REF!</definedName>
    <definedName name="coal_hide_lge_01" localSheetId="11">'[4]LGE Coal'!#REF!</definedName>
    <definedName name="coal_hide_lge_01" localSheetId="10">'[4]LGE Coal'!#REF!</definedName>
    <definedName name="coal_hide_lge_01" localSheetId="9">'[4]LGE Coal'!#REF!</definedName>
    <definedName name="coal_hide_lge_01">'[4]LGE Coal'!#REF!</definedName>
    <definedName name="coal_ku_01" localSheetId="6">'[4]LGE Coal'!#REF!</definedName>
    <definedName name="coal_ku_01" localSheetId="12">'[4]LGE Coal'!#REF!</definedName>
    <definedName name="coal_ku_01" localSheetId="5">'[4]LGE Coal'!#REF!</definedName>
    <definedName name="coal_ku_01" localSheetId="8">'[4]LGE Coal'!#REF!</definedName>
    <definedName name="coal_ku_01" localSheetId="7">'[4]LGE Coal'!#REF!</definedName>
    <definedName name="coal_ku_01" localSheetId="11">'[4]LGE Coal'!#REF!</definedName>
    <definedName name="coal_ku_01" localSheetId="10">'[4]LGE Coal'!#REF!</definedName>
    <definedName name="coal_ku_01" localSheetId="9">'[4]LGE Coal'!#REF!</definedName>
    <definedName name="coal_ku_01">'[4]LGE Coal'!#REF!</definedName>
    <definedName name="ColumnAttributes1">#REF!</definedName>
    <definedName name="ColumnHeadings1">#REF!</definedName>
    <definedName name="Comp">[0]!Comp</definedName>
    <definedName name="ConsEarnings">#REF!</definedName>
    <definedName name="CONSOLIDATED">#REF!</definedName>
    <definedName name="CORPORATE">#REF!</definedName>
    <definedName name="counter">#REF!</definedName>
    <definedName name="CREDIT">#REF!</definedName>
    <definedName name="CurReptgMo">[5]Input!$K$19</definedName>
    <definedName name="CurReptgYr">[5]Input!$K$21</definedName>
    <definedName name="D">#REF!</definedName>
    <definedName name="data">#REF!</definedName>
    <definedName name="data1" localSheetId="6">'[6]1'!#REF!</definedName>
    <definedName name="data1" localSheetId="12">'[6]1'!#REF!</definedName>
    <definedName name="data1" localSheetId="5">'[6]1'!#REF!</definedName>
    <definedName name="data1" localSheetId="8">'[6]1'!#REF!</definedName>
    <definedName name="data1" localSheetId="7">'[6]1'!#REF!</definedName>
    <definedName name="data1" localSheetId="11">'[6]1'!#REF!</definedName>
    <definedName name="data1" localSheetId="10">'[6]1'!#REF!</definedName>
    <definedName name="data1" localSheetId="9">'[6]1'!#REF!</definedName>
    <definedName name="data1">'[6]1'!#REF!</definedName>
    <definedName name="DateTimeNow">[5]Input!$AE$12</definedName>
    <definedName name="DEBIT">#REF!</definedName>
    <definedName name="Detail">#REF!</definedName>
    <definedName name="ELEC_NET_OP_INC" localSheetId="6">#REF!</definedName>
    <definedName name="ELEC_NET_OP_INC" localSheetId="12">#REF!</definedName>
    <definedName name="ELEC_NET_OP_INC" localSheetId="5">#REF!</definedName>
    <definedName name="ELEC_NET_OP_INC" localSheetId="8">#REF!</definedName>
    <definedName name="ELEC_NET_OP_INC" localSheetId="7">#REF!</definedName>
    <definedName name="ELEC_NET_OP_INC" localSheetId="11">#REF!</definedName>
    <definedName name="ELEC_NET_OP_INC" localSheetId="10">#REF!</definedName>
    <definedName name="ELEC_NET_OP_INC" localSheetId="9">#REF!</definedName>
    <definedName name="ELEC_NET_OP_INC">#REF!</definedName>
    <definedName name="ELIMS">#REF!</definedName>
    <definedName name="EXHIB1A" localSheetId="6">'[7]#REF'!#REF!</definedName>
    <definedName name="EXHIB1A" localSheetId="12">'[7]#REF'!#REF!</definedName>
    <definedName name="EXHIB1A" localSheetId="5">'[7]#REF'!#REF!</definedName>
    <definedName name="EXHIB1A" localSheetId="8">'[7]#REF'!#REF!</definedName>
    <definedName name="EXHIB1A" localSheetId="7">'[7]#REF'!#REF!</definedName>
    <definedName name="EXHIB1A" localSheetId="11">'[7]#REF'!#REF!</definedName>
    <definedName name="EXHIB1A" localSheetId="10">'[7]#REF'!#REF!</definedName>
    <definedName name="EXHIB1A" localSheetId="9">'[7]#REF'!#REF!</definedName>
    <definedName name="EXHIB1A">'[7]#REF'!#REF!</definedName>
    <definedName name="EXHIB1B">#REF!</definedName>
    <definedName name="EXHIB1C" localSheetId="6">#REF!</definedName>
    <definedName name="EXHIB1C" localSheetId="12">#REF!</definedName>
    <definedName name="EXHIB1C" localSheetId="5">#REF!</definedName>
    <definedName name="EXHIB1C" localSheetId="8">#REF!</definedName>
    <definedName name="EXHIB1C" localSheetId="7">#REF!</definedName>
    <definedName name="EXHIB1C" localSheetId="11">#REF!</definedName>
    <definedName name="EXHIB1C" localSheetId="10">#REF!</definedName>
    <definedName name="EXHIB1C" localSheetId="9">#REF!</definedName>
    <definedName name="EXHIB1C">#REF!</definedName>
    <definedName name="EXHIB2B" localSheetId="6">'[8]Ex 2'!#REF!</definedName>
    <definedName name="EXHIB2B" localSheetId="12">'[8]Ex 2'!#REF!</definedName>
    <definedName name="EXHIB2B" localSheetId="5">'[8]Ex 2'!#REF!</definedName>
    <definedName name="EXHIB2B" localSheetId="8">'[8]Ex 2'!#REF!</definedName>
    <definedName name="EXHIB2B" localSheetId="7">'[8]Ex 2'!#REF!</definedName>
    <definedName name="EXHIB2B" localSheetId="11">'[8]Ex 2'!#REF!</definedName>
    <definedName name="EXHIB2B" localSheetId="10">'[8]Ex 2'!#REF!</definedName>
    <definedName name="EXHIB2B" localSheetId="9">'[8]Ex 2'!#REF!</definedName>
    <definedName name="EXHIB2B">'[8]Ex 2'!#REF!</definedName>
    <definedName name="EXHIB3">#REF!</definedName>
    <definedName name="EXHIB6" localSheetId="6">'[8]not used Ex 4'!#REF!</definedName>
    <definedName name="EXHIB6" localSheetId="12">'[8]not used Ex 4'!#REF!</definedName>
    <definedName name="EXHIB6" localSheetId="5">'[8]not used Ex 4'!#REF!</definedName>
    <definedName name="EXHIB6" localSheetId="8">'[8]not used Ex 4'!#REF!</definedName>
    <definedName name="EXHIB6" localSheetId="7">'[8]not used Ex 4'!#REF!</definedName>
    <definedName name="EXHIB6" localSheetId="11">'[8]not used Ex 4'!#REF!</definedName>
    <definedName name="EXHIB6" localSheetId="10">'[8]not used Ex 4'!#REF!</definedName>
    <definedName name="EXHIB6" localSheetId="9">'[8]not used Ex 4'!#REF!</definedName>
    <definedName name="EXHIB6">'[8]not used Ex 4'!#REF!</definedName>
    <definedName name="F">#REF!</definedName>
    <definedName name="Fac_2000" localSheetId="6">'[4]LGE Base Fuel &amp; FAC'!#REF!</definedName>
    <definedName name="Fac_2000" localSheetId="12">'[4]LGE Base Fuel &amp; FAC'!#REF!</definedName>
    <definedName name="Fac_2000" localSheetId="5">'[4]LGE Base Fuel &amp; FAC'!#REF!</definedName>
    <definedName name="Fac_2000" localSheetId="8">'[4]LGE Base Fuel &amp; FAC'!#REF!</definedName>
    <definedName name="Fac_2000" localSheetId="7">'[4]LGE Base Fuel &amp; FAC'!#REF!</definedName>
    <definedName name="Fac_2000" localSheetId="11">'[4]LGE Base Fuel &amp; FAC'!#REF!</definedName>
    <definedName name="Fac_2000" localSheetId="10">'[4]LGE Base Fuel &amp; FAC'!#REF!</definedName>
    <definedName name="Fac_2000" localSheetId="9">'[4]LGE Base Fuel &amp; FAC'!#REF!</definedName>
    <definedName name="Fac_2000">'[4]LGE Base Fuel &amp; FAC'!#REF!</definedName>
    <definedName name="fac_annual_ku" localSheetId="6">'[4]LGE Base Fuel &amp; FAC'!#REF!</definedName>
    <definedName name="fac_annual_ku" localSheetId="12">'[4]LGE Base Fuel &amp; FAC'!#REF!</definedName>
    <definedName name="fac_annual_ku" localSheetId="5">'[4]LGE Base Fuel &amp; FAC'!#REF!</definedName>
    <definedName name="fac_annual_ku" localSheetId="8">'[4]LGE Base Fuel &amp; FAC'!#REF!</definedName>
    <definedName name="fac_annual_ku" localSheetId="7">'[4]LGE Base Fuel &amp; FAC'!#REF!</definedName>
    <definedName name="fac_annual_ku" localSheetId="11">'[4]LGE Base Fuel &amp; FAC'!#REF!</definedName>
    <definedName name="fac_annual_ku" localSheetId="10">'[4]LGE Base Fuel &amp; FAC'!#REF!</definedName>
    <definedName name="fac_annual_ku" localSheetId="9">'[4]LGE Base Fuel &amp; FAC'!#REF!</definedName>
    <definedName name="fac_annual_ku">'[4]LGE Base Fuel &amp; FAC'!#REF!</definedName>
    <definedName name="fac_hide_ku_01" localSheetId="6">'[4]LGE Base Fuel &amp; FAC'!#REF!</definedName>
    <definedName name="fac_hide_ku_01" localSheetId="12">'[4]LGE Base Fuel &amp; FAC'!#REF!</definedName>
    <definedName name="fac_hide_ku_01" localSheetId="5">'[4]LGE Base Fuel &amp; FAC'!#REF!</definedName>
    <definedName name="fac_hide_ku_01" localSheetId="8">'[4]LGE Base Fuel &amp; FAC'!#REF!</definedName>
    <definedName name="fac_hide_ku_01" localSheetId="7">'[4]LGE Base Fuel &amp; FAC'!#REF!</definedName>
    <definedName name="fac_hide_ku_01" localSheetId="11">'[4]LGE Base Fuel &amp; FAC'!#REF!</definedName>
    <definedName name="fac_hide_ku_01" localSheetId="10">'[4]LGE Base Fuel &amp; FAC'!#REF!</definedName>
    <definedName name="fac_hide_ku_01" localSheetId="9">'[4]LGE Base Fuel &amp; FAC'!#REF!</definedName>
    <definedName name="fac_hide_ku_01">'[4]LGE Base Fuel &amp; FAC'!#REF!</definedName>
    <definedName name="fac_hide_lge_01" localSheetId="6">'[4]LGE Base Fuel &amp; FAC'!#REF!</definedName>
    <definedName name="fac_hide_lge_01" localSheetId="12">'[4]LGE Base Fuel &amp; FAC'!#REF!</definedName>
    <definedName name="fac_hide_lge_01" localSheetId="5">'[4]LGE Base Fuel &amp; FAC'!#REF!</definedName>
    <definedName name="fac_hide_lge_01" localSheetId="8">'[4]LGE Base Fuel &amp; FAC'!#REF!</definedName>
    <definedName name="fac_hide_lge_01" localSheetId="7">'[4]LGE Base Fuel &amp; FAC'!#REF!</definedName>
    <definedName name="fac_hide_lge_01" localSheetId="11">'[4]LGE Base Fuel &amp; FAC'!#REF!</definedName>
    <definedName name="fac_hide_lge_01" localSheetId="10">'[4]LGE Base Fuel &amp; FAC'!#REF!</definedName>
    <definedName name="fac_hide_lge_01" localSheetId="9">'[4]LGE Base Fuel &amp; FAC'!#REF!</definedName>
    <definedName name="fac_hide_lge_01">'[4]LGE Base Fuel &amp; FAC'!#REF!</definedName>
    <definedName name="fac_ku_01" localSheetId="6">'[4]LGE Base Fuel &amp; FAC'!#REF!</definedName>
    <definedName name="fac_ku_01" localSheetId="12">'[4]LGE Base Fuel &amp; FAC'!#REF!</definedName>
    <definedName name="fac_ku_01" localSheetId="5">'[4]LGE Base Fuel &amp; FAC'!#REF!</definedName>
    <definedName name="fac_ku_01" localSheetId="8">'[4]LGE Base Fuel &amp; FAC'!#REF!</definedName>
    <definedName name="fac_ku_01" localSheetId="7">'[4]LGE Base Fuel &amp; FAC'!#REF!</definedName>
    <definedName name="fac_ku_01" localSheetId="11">'[4]LGE Base Fuel &amp; FAC'!#REF!</definedName>
    <definedName name="fac_ku_01" localSheetId="10">'[4]LGE Base Fuel &amp; FAC'!#REF!</definedName>
    <definedName name="fac_ku_01" localSheetId="9">'[4]LGE Base Fuel &amp; FAC'!#REF!</definedName>
    <definedName name="fac_ku_01">'[4]LGE Base Fuel &amp; FAC'!#REF!</definedName>
    <definedName name="FOOTER" localSheetId="6">#REF!</definedName>
    <definedName name="FOOTER" localSheetId="12">#REF!</definedName>
    <definedName name="FOOTER" localSheetId="5">#REF!</definedName>
    <definedName name="FOOTER" localSheetId="8">#REF!</definedName>
    <definedName name="FOOTER" localSheetId="7">#REF!</definedName>
    <definedName name="FOOTER" localSheetId="11">#REF!</definedName>
    <definedName name="FOOTER" localSheetId="10">#REF!</definedName>
    <definedName name="FOOTER" localSheetId="9">#REF!</definedName>
    <definedName name="FOOTER">#REF!</definedName>
    <definedName name="FORECAST">"'IFPSReport'!R5C3:R5C14"</definedName>
    <definedName name="fuelcost">#REF!</definedName>
    <definedName name="Gas_Annual_NetRev">#REF!</definedName>
    <definedName name="Gas_Annual_Revenue">#REF!</definedName>
    <definedName name="gas_data" localSheetId="6">#REF!</definedName>
    <definedName name="gas_data" localSheetId="12">#REF!</definedName>
    <definedName name="gas_data" localSheetId="5">#REF!</definedName>
    <definedName name="gas_data" localSheetId="8">#REF!</definedName>
    <definedName name="gas_data" localSheetId="7">#REF!</definedName>
    <definedName name="gas_data" localSheetId="11">#REF!</definedName>
    <definedName name="gas_data" localSheetId="10">#REF!</definedName>
    <definedName name="gas_data" localSheetId="9">#REF!</definedName>
    <definedName name="gas_data">#REF!</definedName>
    <definedName name="Gas_Monthly_NetRevenue">#REF!</definedName>
    <definedName name="GAS_NET_OP_INC" localSheetId="6">#REF!</definedName>
    <definedName name="GAS_NET_OP_INC" localSheetId="12">#REF!</definedName>
    <definedName name="GAS_NET_OP_INC" localSheetId="5">#REF!</definedName>
    <definedName name="GAS_NET_OP_INC" localSheetId="8">#REF!</definedName>
    <definedName name="GAS_NET_OP_INC" localSheetId="7">#REF!</definedName>
    <definedName name="GAS_NET_OP_INC" localSheetId="11">#REF!</definedName>
    <definedName name="GAS_NET_OP_INC" localSheetId="10">#REF!</definedName>
    <definedName name="GAS_NET_OP_INC" localSheetId="9">#REF!</definedName>
    <definedName name="GAS_NET_OP_INC">#REF!</definedName>
    <definedName name="Gas_Sales_Revenues">#REF!</definedName>
    <definedName name="GenEx_Annual_KU" localSheetId="6">'[4]LGE Cost of Sales'!#REF!</definedName>
    <definedName name="GenEx_Annual_KU" localSheetId="12">'[4]LGE Cost of Sales'!#REF!</definedName>
    <definedName name="GenEx_Annual_KU" localSheetId="5">'[4]LGE Cost of Sales'!#REF!</definedName>
    <definedName name="GenEx_Annual_KU" localSheetId="8">'[4]LGE Cost of Sales'!#REF!</definedName>
    <definedName name="GenEx_Annual_KU" localSheetId="7">'[4]LGE Cost of Sales'!#REF!</definedName>
    <definedName name="GenEx_Annual_KU" localSheetId="11">'[4]LGE Cost of Sales'!#REF!</definedName>
    <definedName name="GenEx_Annual_KU" localSheetId="10">'[4]LGE Cost of Sales'!#REF!</definedName>
    <definedName name="GenEx_Annual_KU" localSheetId="9">'[4]LGE Cost of Sales'!#REF!</definedName>
    <definedName name="GenEx_Annual_KU">'[4]LGE Cost of Sales'!#REF!</definedName>
    <definedName name="genex_hide_ku_01" localSheetId="6">'[4]LGE Cost of Sales'!#REF!</definedName>
    <definedName name="genex_hide_ku_01" localSheetId="12">'[4]LGE Cost of Sales'!#REF!</definedName>
    <definedName name="genex_hide_ku_01" localSheetId="5">'[4]LGE Cost of Sales'!#REF!</definedName>
    <definedName name="genex_hide_ku_01" localSheetId="8">'[4]LGE Cost of Sales'!#REF!</definedName>
    <definedName name="genex_hide_ku_01" localSheetId="7">'[4]LGE Cost of Sales'!#REF!</definedName>
    <definedName name="genex_hide_ku_01" localSheetId="11">'[4]LGE Cost of Sales'!#REF!</definedName>
    <definedName name="genex_hide_ku_01" localSheetId="10">'[4]LGE Cost of Sales'!#REF!</definedName>
    <definedName name="genex_hide_ku_01" localSheetId="9">'[4]LGE Cost of Sales'!#REF!</definedName>
    <definedName name="genex_hide_ku_01">'[4]LGE Cost of Sales'!#REF!</definedName>
    <definedName name="genex_hide_lge_01" localSheetId="6">'[4]LGE Cost of Sales'!#REF!</definedName>
    <definedName name="genex_hide_lge_01" localSheetId="12">'[4]LGE Cost of Sales'!#REF!</definedName>
    <definedName name="genex_hide_lge_01" localSheetId="5">'[4]LGE Cost of Sales'!#REF!</definedName>
    <definedName name="genex_hide_lge_01" localSheetId="8">'[4]LGE Cost of Sales'!#REF!</definedName>
    <definedName name="genex_hide_lge_01" localSheetId="7">'[4]LGE Cost of Sales'!#REF!</definedName>
    <definedName name="genex_hide_lge_01" localSheetId="11">'[4]LGE Cost of Sales'!#REF!</definedName>
    <definedName name="genex_hide_lge_01" localSheetId="10">'[4]LGE Cost of Sales'!#REF!</definedName>
    <definedName name="genex_hide_lge_01" localSheetId="9">'[4]LGE Cost of Sales'!#REF!</definedName>
    <definedName name="genex_hide_lge_01">'[4]LGE Cost of Sales'!#REF!</definedName>
    <definedName name="genex_ku_01" localSheetId="6">'[4]LGE Cost of Sales'!#REF!</definedName>
    <definedName name="genex_ku_01" localSheetId="12">'[4]LGE Cost of Sales'!#REF!</definedName>
    <definedName name="genex_ku_01" localSheetId="5">'[4]LGE Cost of Sales'!#REF!</definedName>
    <definedName name="genex_ku_01" localSheetId="8">'[4]LGE Cost of Sales'!#REF!</definedName>
    <definedName name="genex_ku_01" localSheetId="7">'[4]LGE Cost of Sales'!#REF!</definedName>
    <definedName name="genex_ku_01" localSheetId="11">'[4]LGE Cost of Sales'!#REF!</definedName>
    <definedName name="genex_ku_01" localSheetId="10">'[4]LGE Cost of Sales'!#REF!</definedName>
    <definedName name="genex_ku_01" localSheetId="9">'[4]LGE Cost of Sales'!#REF!</definedName>
    <definedName name="genex_ku_01">'[4]LGE Cost of Sales'!#REF!</definedName>
    <definedName name="H">#REF!</definedName>
    <definedName name="Home_KU">#REF!</definedName>
    <definedName name="INPUT1">#REF!</definedName>
    <definedName name="INPUT2">#REF!</definedName>
    <definedName name="INPUTCOL">#REF!</definedName>
    <definedName name="INPUTROW">#REF!</definedName>
    <definedName name="InputSec01">[5]Input!$M$30</definedName>
    <definedName name="InputSec02">[5]Input!$M$40:$M$75</definedName>
    <definedName name="InputSec03">[5]Input!$K$87:$Q$89</definedName>
    <definedName name="InputSec04">[5]Input!$O$100:$Q$100</definedName>
    <definedName name="InputSec05A">[5]Input!$O$110:$Q$110</definedName>
    <definedName name="InputSec05B">[5]Input!$O$116:$Q$122</definedName>
    <definedName name="InputSec06">[5]Input!$M$133:$O$142</definedName>
    <definedName name="InputSec07">[5]Input!$O$151:$O$181</definedName>
    <definedName name="InputSec08A">[5]Input!$O$259:$O$283</definedName>
    <definedName name="InputSec08B">[5]Input!$G$296:$Q$296</definedName>
    <definedName name="InputSec08C">[5]Input!$I$306:$K$306</definedName>
    <definedName name="InputSec09A">[5]Input!$K$316:$Q$318</definedName>
    <definedName name="InputSec09B">[5]Input!$K$328:$M$330</definedName>
    <definedName name="InputSec10A">[5]Input!$K$345:$O$349</definedName>
    <definedName name="InputSec10B">[5]Input!$K$355:$O$355</definedName>
    <definedName name="InputSec10C">[5]Input!$K$362:$O$364</definedName>
    <definedName name="InputSec10D">[5]Input!$K$370:$O$370</definedName>
    <definedName name="InputSec11">[5]Input!$M$383:$O$391</definedName>
    <definedName name="InputSec12A">[5]Input!$M$406:$M$418</definedName>
    <definedName name="InputSec12B">[5]Input!$M$424</definedName>
    <definedName name="InputSec13">[5]Input!$M$433:$O$433</definedName>
    <definedName name="KUELIMBAL" localSheetId="6">#REF!</definedName>
    <definedName name="KUELIMBAL" localSheetId="12">#REF!</definedName>
    <definedName name="KUELIMBAL" localSheetId="5">#REF!</definedName>
    <definedName name="KUELIMBAL" localSheetId="8">#REF!</definedName>
    <definedName name="KUELIMBAL" localSheetId="7">#REF!</definedName>
    <definedName name="KUELIMBAL" localSheetId="11">#REF!</definedName>
    <definedName name="KUELIMBAL" localSheetId="10">#REF!</definedName>
    <definedName name="KUELIMBAL" localSheetId="9">#REF!</definedName>
    <definedName name="KUELIMBAL">#REF!</definedName>
    <definedName name="KUELIMCASH" localSheetId="6">#REF!</definedName>
    <definedName name="KUELIMCASH" localSheetId="12">#REF!</definedName>
    <definedName name="KUELIMCASH" localSheetId="5">#REF!</definedName>
    <definedName name="KUELIMCASH" localSheetId="8">#REF!</definedName>
    <definedName name="KUELIMCASH" localSheetId="7">#REF!</definedName>
    <definedName name="KUELIMCASH" localSheetId="11">#REF!</definedName>
    <definedName name="KUELIMCASH" localSheetId="10">#REF!</definedName>
    <definedName name="KUELIMCASH" localSheetId="9">#REF!</definedName>
    <definedName name="KUELIMCASH">#REF!</definedName>
    <definedName name="KUPWRGENIS">#REF!</definedName>
    <definedName name="KWHCol01">[5]KWHDistDatabase!$I$5:$I$425</definedName>
    <definedName name="KWHCol02">[5]KWHDistDatabase!$J$5:$J$425</definedName>
    <definedName name="KWHCol03">[5]KWHDistDatabase!$K$5:$K$425</definedName>
    <definedName name="KWHCol04">[5]KWHDistDatabase!$L$5:$L$425</definedName>
    <definedName name="KWHCol05">[5]KWHDistDatabase!$M$5:$M$425</definedName>
    <definedName name="KWHCol06">[5]KWHDistDatabase!$N$5:$N$425</definedName>
    <definedName name="KWHCol07">[5]KWHDistDatabase!$O$5:$O$425</definedName>
    <definedName name="KWHCol08">[5]KWHDistDatabase!$P$5:$P$425</definedName>
    <definedName name="KWHCol09">[5]KWHDistDatabase!$Q$5:$Q$425</definedName>
    <definedName name="KWHCol10">[5]KWHDistDatabase!$R$5:$R$425</definedName>
    <definedName name="KWHCol11">[5]KWHDistDatabase!$S$5:$S$425</definedName>
    <definedName name="KWHCol12">[5]KWHDistDatabase!$T$5:$T$425</definedName>
    <definedName name="KWHCol13">[5]KWHDistDatabase!$U$5:$U$425</definedName>
    <definedName name="KWHCol14">[5]KWHDistDatabase!$V$5:$V$425</definedName>
    <definedName name="KWHCol15">[5]KWHDistDatabase!$W$5:$W$425</definedName>
    <definedName name="KWHCol16">[5]KWHDistDatabase!$X$5:$X$425</definedName>
    <definedName name="KWHCol17">[5]KWHDistDatabase!$Y$5:$Y$425</definedName>
    <definedName name="KWHCol18">[5]KWHDistDatabase!$Z$5:$Z$425</definedName>
    <definedName name="KWHCol19">[5]KWHDistDatabase!$AA$5:$AA$425</definedName>
    <definedName name="KWHCol20">[5]KWHDistDatabase!$AB$5:$AB$425</definedName>
    <definedName name="KWHCol21">[5]KWHDistDatabase!$AC$5:$AC$425</definedName>
    <definedName name="KWHCol22">[5]KWHDistDatabase!$AD$5:$AD$425</definedName>
    <definedName name="KWHCol23">[5]KWHDistDatabase!$AE$5:$AE$425</definedName>
    <definedName name="KWHCol24">[5]KWHDistDatabase!$AF$5:$AF$425</definedName>
    <definedName name="KWHCol25">[5]KWHDistDatabase!$AG$5:$AG$425</definedName>
    <definedName name="KWHColTmp">[5]KWHDistDatabase!$AI$5:$AI$425</definedName>
    <definedName name="LEC">#REF!</definedName>
    <definedName name="LECBAL">#REF!</definedName>
    <definedName name="LECCASH">#REF!</definedName>
    <definedName name="LES">#REF!</definedName>
    <definedName name="LGE">#REF!</definedName>
    <definedName name="LNGCL" localSheetId="6">#REF!</definedName>
    <definedName name="LNGCL" localSheetId="12">#REF!</definedName>
    <definedName name="LNGCL" localSheetId="5">#REF!</definedName>
    <definedName name="LNGCL" localSheetId="8">#REF!</definedName>
    <definedName name="LNGCL" localSheetId="7">#REF!</definedName>
    <definedName name="LNGCL" localSheetId="11">#REF!</definedName>
    <definedName name="LNGCL" localSheetId="10">#REF!</definedName>
    <definedName name="LNGCL" localSheetId="9">#REF!</definedName>
    <definedName name="LNGCL">#REF!</definedName>
    <definedName name="Losses_by_State">#REF!</definedName>
    <definedName name="LOUPHONECOBAL">#REF!</definedName>
    <definedName name="LOUPHONECOCASH">#REF!</definedName>
    <definedName name="LOUPHONECOIS">#REF!</definedName>
    <definedName name="LPI">#REF!</definedName>
    <definedName name="MAIN">#REF!</definedName>
    <definedName name="MESG1">#REF!</definedName>
    <definedName name="MESG2">#REF!</definedName>
    <definedName name="MONTH_NAME">#REF!</definedName>
    <definedName name="MONTHCOUNT">#REF!</definedName>
    <definedName name="NATURAL">#REF!</definedName>
    <definedName name="NET_OP_INC" localSheetId="6">#REF!</definedName>
    <definedName name="NET_OP_INC" localSheetId="12">#REF!</definedName>
    <definedName name="NET_OP_INC" localSheetId="5">#REF!</definedName>
    <definedName name="NET_OP_INC" localSheetId="8">#REF!</definedName>
    <definedName name="NET_OP_INC" localSheetId="7">#REF!</definedName>
    <definedName name="NET_OP_INC" localSheetId="11">#REF!</definedName>
    <definedName name="NET_OP_INC" localSheetId="10">#REF!</definedName>
    <definedName name="NET_OP_INC" localSheetId="9">#REF!</definedName>
    <definedName name="NET_OP_INC">#REF!</definedName>
    <definedName name="Net_Revenues">#REF!</definedName>
    <definedName name="Net_Unbilled_KWh">#REF!</definedName>
    <definedName name="Net_Unbilled_Revenue_Dollars">#REF!</definedName>
    <definedName name="netrev_hide_ku_01" localSheetId="6">'[4]LGE Gross Margin-Inc.Stmt'!#REF!</definedName>
    <definedName name="netrev_hide_ku_01" localSheetId="12">'[4]LGE Gross Margin-Inc.Stmt'!#REF!</definedName>
    <definedName name="netrev_hide_ku_01" localSheetId="5">'[4]LGE Gross Margin-Inc.Stmt'!#REF!</definedName>
    <definedName name="netrev_hide_ku_01" localSheetId="8">'[4]LGE Gross Margin-Inc.Stmt'!#REF!</definedName>
    <definedName name="netrev_hide_ku_01" localSheetId="7">'[4]LGE Gross Margin-Inc.Stmt'!#REF!</definedName>
    <definedName name="netrev_hide_ku_01" localSheetId="11">'[4]LGE Gross Margin-Inc.Stmt'!#REF!</definedName>
    <definedName name="netrev_hide_ku_01" localSheetId="10">'[4]LGE Gross Margin-Inc.Stmt'!#REF!</definedName>
    <definedName name="netrev_hide_ku_01" localSheetId="9">'[4]LGE Gross Margin-Inc.Stmt'!#REF!</definedName>
    <definedName name="netrev_hide_ku_01">'[4]LGE Gross Margin-Inc.Stmt'!#REF!</definedName>
    <definedName name="netrev_hide_lge_01" localSheetId="6">'[4]LGE Gross Margin-Inc.Stmt'!#REF!</definedName>
    <definedName name="netrev_hide_lge_01" localSheetId="12">'[4]LGE Gross Margin-Inc.Stmt'!#REF!</definedName>
    <definedName name="netrev_hide_lge_01" localSheetId="5">'[4]LGE Gross Margin-Inc.Stmt'!#REF!</definedName>
    <definedName name="netrev_hide_lge_01" localSheetId="8">'[4]LGE Gross Margin-Inc.Stmt'!#REF!</definedName>
    <definedName name="netrev_hide_lge_01" localSheetId="7">'[4]LGE Gross Margin-Inc.Stmt'!#REF!</definedName>
    <definedName name="netrev_hide_lge_01" localSheetId="11">'[4]LGE Gross Margin-Inc.Stmt'!#REF!</definedName>
    <definedName name="netrev_hide_lge_01" localSheetId="10">'[4]LGE Gross Margin-Inc.Stmt'!#REF!</definedName>
    <definedName name="netrev_hide_lge_01" localSheetId="9">'[4]LGE Gross Margin-Inc.Stmt'!#REF!</definedName>
    <definedName name="netrev_hide_lge_01">'[4]LGE Gross Margin-Inc.Stmt'!#REF!</definedName>
    <definedName name="netrev_ku_01" localSheetId="6">'[4]LGE Gross Margin-Inc.Stmt'!#REF!</definedName>
    <definedName name="netrev_ku_01" localSheetId="12">'[4]LGE Gross Margin-Inc.Stmt'!#REF!</definedName>
    <definedName name="netrev_ku_01" localSheetId="5">'[4]LGE Gross Margin-Inc.Stmt'!#REF!</definedName>
    <definedName name="netrev_ku_01" localSheetId="8">'[4]LGE Gross Margin-Inc.Stmt'!#REF!</definedName>
    <definedName name="netrev_ku_01" localSheetId="7">'[4]LGE Gross Margin-Inc.Stmt'!#REF!</definedName>
    <definedName name="netrev_ku_01" localSheetId="11">'[4]LGE Gross Margin-Inc.Stmt'!#REF!</definedName>
    <definedName name="netrev_ku_01" localSheetId="10">'[4]LGE Gross Margin-Inc.Stmt'!#REF!</definedName>
    <definedName name="netrev_ku_01" localSheetId="9">'[4]LGE Gross Margin-Inc.Stmt'!#REF!</definedName>
    <definedName name="netrev_ku_01">'[4]LGE Gross Margin-Inc.Stmt'!#REF!</definedName>
    <definedName name="NetRevenue_Annual_KU" localSheetId="6">'[4]LGE Gross Margin-Inc.Stmt'!#REF!</definedName>
    <definedName name="NetRevenue_Annual_KU" localSheetId="12">'[4]LGE Gross Margin-Inc.Stmt'!#REF!</definedName>
    <definedName name="NetRevenue_Annual_KU" localSheetId="5">'[4]LGE Gross Margin-Inc.Stmt'!#REF!</definedName>
    <definedName name="NetRevenue_Annual_KU" localSheetId="8">'[4]LGE Gross Margin-Inc.Stmt'!#REF!</definedName>
    <definedName name="NetRevenue_Annual_KU" localSheetId="7">'[4]LGE Gross Margin-Inc.Stmt'!#REF!</definedName>
    <definedName name="NetRevenue_Annual_KU" localSheetId="11">'[4]LGE Gross Margin-Inc.Stmt'!#REF!</definedName>
    <definedName name="NetRevenue_Annual_KU" localSheetId="10">'[4]LGE Gross Margin-Inc.Stmt'!#REF!</definedName>
    <definedName name="NetRevenue_Annual_KU" localSheetId="9">'[4]LGE Gross Margin-Inc.Stmt'!#REF!</definedName>
    <definedName name="NetRevenue_Annual_KU">'[4]LGE Gross Margin-Inc.Stmt'!#REF!</definedName>
    <definedName name="NetRevenues">#REF!</definedName>
    <definedName name="NextReptgMo">[5]Input!$AE$19</definedName>
    <definedName name="NextReptgYr">[5]Input!$AE$21</definedName>
    <definedName name="Operating_Revenue_Dollars">#REF!</definedName>
    <definedName name="Operating_Sales__KWh">#REF!</definedName>
    <definedName name="PAGE">#REF!</definedName>
    <definedName name="PAGE10">#REF!</definedName>
    <definedName name="PAGE1B" localSheetId="6">[3]d20!#REF!</definedName>
    <definedName name="PAGE1B" localSheetId="12">[3]d20!#REF!</definedName>
    <definedName name="PAGE1B" localSheetId="5">[3]d20!#REF!</definedName>
    <definedName name="PAGE1B" localSheetId="8">[3]d20!#REF!</definedName>
    <definedName name="PAGE1B" localSheetId="7">[3]d20!#REF!</definedName>
    <definedName name="PAGE1B" localSheetId="11">[3]d20!#REF!</definedName>
    <definedName name="PAGE1B" localSheetId="10">[3]d20!#REF!</definedName>
    <definedName name="PAGE1B" localSheetId="9">[3]d20!#REF!</definedName>
    <definedName name="PAGE1B">[3]d20!#REF!</definedName>
    <definedName name="PAGE7">#REF!</definedName>
    <definedName name="page8">#REF!</definedName>
    <definedName name="PAGE9">#REF!</definedName>
    <definedName name="PgFERC_449">#REF!</definedName>
    <definedName name="Plan">#REF!</definedName>
    <definedName name="_xlnm.Print_Area" localSheetId="6">'AES Unit Costs'!$A$1:$K$58</definedName>
    <definedName name="_xlnm.Print_Area" localSheetId="2">'Allocation ProForma'!$F$4:$R$910,'Allocation ProForma'!$F$1048:$R$1223</definedName>
    <definedName name="_xlnm.Print_Area" localSheetId="13">'Billing Det'!$A$1:$J$38</definedName>
    <definedName name="_xlnm.Print_Area" localSheetId="12">'FLS Unit Costs'!$A$1:$K$59</definedName>
    <definedName name="_xlnm.Print_Area" localSheetId="1">'Functional Assignment'!$F$5:$AJ$667</definedName>
    <definedName name="_xlnm.Print_Area" localSheetId="5">'GS Unit Costs'!$A$1:$K$58</definedName>
    <definedName name="_xlnm.Print_Area" localSheetId="0">'Jurisdictional Study'!$A$19:$Q$1472</definedName>
    <definedName name="_xlnm.Print_Area" localSheetId="14">Meters!$A$1:$I$60</definedName>
    <definedName name="_xlnm.Print_Area" localSheetId="8">'PSP Unit Costs'!$A$1:$K$59</definedName>
    <definedName name="_xlnm.Print_Area" localSheetId="7">'PSS Unit Costs'!$A$1:$K$59</definedName>
    <definedName name="_xlnm.Print_Area" localSheetId="4">'Res Unit Costs'!$A$1:$K$58</definedName>
    <definedName name="_xlnm.Print_Area" localSheetId="11">'RTS Unit Costs'!$A$1:$K$59</definedName>
    <definedName name="_xlnm.Print_Area" localSheetId="15">Services!$A$1:$D$57</definedName>
    <definedName name="_xlnm.Print_Area" localSheetId="3">'Summary of Returns'!$A$1:$G$62</definedName>
    <definedName name="_xlnm.Print_Area" localSheetId="10">'TODP Unit Costs'!$A$1:$K$59</definedName>
    <definedName name="_xlnm.Print_Area" localSheetId="9">'TODS Unit Costs'!$A$1:$K$59</definedName>
    <definedName name="_xlnm.Print_Titles" localSheetId="2">'Allocation ProForma'!$A:$E,'Allocation ProForma'!$1:$3</definedName>
    <definedName name="_xlnm.Print_Titles" localSheetId="13">'Billing Det'!$A:$A,'Billing Det'!$73:$74</definedName>
    <definedName name="_xlnm.Print_Titles" localSheetId="1">'Functional Assignment'!$A:$E,'Functional Assignment'!$1:$4</definedName>
    <definedName name="_xlnm.Print_Titles" localSheetId="0">'Jurisdictional Study'!$19:$22</definedName>
    <definedName name="PRINT1">#REF!</definedName>
    <definedName name="PWRGENBAL">#REF!</definedName>
    <definedName name="PWRGENCASH">#REF!</definedName>
    <definedName name="QtrbyMonth">#REF!</definedName>
    <definedName name="RangeRptgMo">[9]Main!$K$11</definedName>
    <definedName name="RangeRptgYr">[10]Main!$G$5</definedName>
    <definedName name="REPORT">#REF!</definedName>
    <definedName name="ReportTitle1">#REF!</definedName>
    <definedName name="require_hide_ku_01" localSheetId="6">'[4]LGE Require &amp; Source'!#REF!</definedName>
    <definedName name="require_hide_ku_01" localSheetId="12">'[4]LGE Require &amp; Source'!#REF!</definedName>
    <definedName name="require_hide_ku_01" localSheetId="5">'[4]LGE Require &amp; Source'!#REF!</definedName>
    <definedName name="require_hide_ku_01" localSheetId="8">'[4]LGE Require &amp; Source'!#REF!</definedName>
    <definedName name="require_hide_ku_01" localSheetId="7">'[4]LGE Require &amp; Source'!#REF!</definedName>
    <definedName name="require_hide_ku_01" localSheetId="11">'[4]LGE Require &amp; Source'!#REF!</definedName>
    <definedName name="require_hide_ku_01" localSheetId="10">'[4]LGE Require &amp; Source'!#REF!</definedName>
    <definedName name="require_hide_ku_01" localSheetId="9">'[4]LGE Require &amp; Source'!#REF!</definedName>
    <definedName name="require_hide_ku_01">'[4]LGE Require &amp; Source'!#REF!</definedName>
    <definedName name="require_hide_lge_01" localSheetId="6">'[4]LGE Require &amp; Source'!#REF!</definedName>
    <definedName name="require_hide_lge_01" localSheetId="12">'[4]LGE Require &amp; Source'!#REF!</definedName>
    <definedName name="require_hide_lge_01" localSheetId="5">'[4]LGE Require &amp; Source'!#REF!</definedName>
    <definedName name="require_hide_lge_01" localSheetId="8">'[4]LGE Require &amp; Source'!#REF!</definedName>
    <definedName name="require_hide_lge_01" localSheetId="7">'[4]LGE Require &amp; Source'!#REF!</definedName>
    <definedName name="require_hide_lge_01" localSheetId="11">'[4]LGE Require &amp; Source'!#REF!</definedName>
    <definedName name="require_hide_lge_01" localSheetId="10">'[4]LGE Require &amp; Source'!#REF!</definedName>
    <definedName name="require_hide_lge_01" localSheetId="9">'[4]LGE Require &amp; Source'!#REF!</definedName>
    <definedName name="require_hide_lge_01">'[4]LGE Require &amp; Source'!#REF!</definedName>
    <definedName name="require_ku_01" localSheetId="6">'[4]LGE Require &amp; Source'!#REF!</definedName>
    <definedName name="require_ku_01" localSheetId="12">'[4]LGE Require &amp; Source'!#REF!</definedName>
    <definedName name="require_ku_01" localSheetId="5">'[4]LGE Require &amp; Source'!#REF!</definedName>
    <definedName name="require_ku_01" localSheetId="8">'[4]LGE Require &amp; Source'!#REF!</definedName>
    <definedName name="require_ku_01" localSheetId="7">'[4]LGE Require &amp; Source'!#REF!</definedName>
    <definedName name="require_ku_01" localSheetId="11">'[4]LGE Require &amp; Source'!#REF!</definedName>
    <definedName name="require_ku_01" localSheetId="10">'[4]LGE Require &amp; Source'!#REF!</definedName>
    <definedName name="require_ku_01" localSheetId="9">'[4]LGE Require &amp; Source'!#REF!</definedName>
    <definedName name="require_ku_01">'[4]LGE Require &amp; Source'!#REF!</definedName>
    <definedName name="Requirements_Annual_KU" localSheetId="6">'[4]LGE Require &amp; Source'!#REF!</definedName>
    <definedName name="Requirements_Annual_KU" localSheetId="12">'[4]LGE Require &amp; Source'!#REF!</definedName>
    <definedName name="Requirements_Annual_KU" localSheetId="5">'[4]LGE Require &amp; Source'!#REF!</definedName>
    <definedName name="Requirements_Annual_KU" localSheetId="8">'[4]LGE Require &amp; Source'!#REF!</definedName>
    <definedName name="Requirements_Annual_KU" localSheetId="7">'[4]LGE Require &amp; Source'!#REF!</definedName>
    <definedName name="Requirements_Annual_KU" localSheetId="11">'[4]LGE Require &amp; Source'!#REF!</definedName>
    <definedName name="Requirements_Annual_KU" localSheetId="10">'[4]LGE Require &amp; Source'!#REF!</definedName>
    <definedName name="Requirements_Annual_KU" localSheetId="9">'[4]LGE Require &amp; Source'!#REF!</definedName>
    <definedName name="Requirements_Annual_KU">'[4]LGE Require &amp; Source'!#REF!</definedName>
    <definedName name="Requirements_Data" localSheetId="6">'[4]LGE Require &amp; Source'!#REF!</definedName>
    <definedName name="Requirements_Data" localSheetId="12">'[4]LGE Require &amp; Source'!#REF!</definedName>
    <definedName name="Requirements_Data" localSheetId="5">'[4]LGE Require &amp; Source'!#REF!</definedName>
    <definedName name="Requirements_Data" localSheetId="8">'[4]LGE Require &amp; Source'!#REF!</definedName>
    <definedName name="Requirements_Data" localSheetId="7">'[4]LGE Require &amp; Source'!#REF!</definedName>
    <definedName name="Requirements_Data" localSheetId="11">'[4]LGE Require &amp; Source'!#REF!</definedName>
    <definedName name="Requirements_Data" localSheetId="10">'[4]LGE Require &amp; Source'!#REF!</definedName>
    <definedName name="Requirements_Data" localSheetId="9">'[4]LGE Require &amp; Source'!#REF!</definedName>
    <definedName name="Requirements_Data">'[4]LGE Require &amp; Source'!#REF!</definedName>
    <definedName name="Requirements_KU" localSheetId="6">'[4]LGE Require &amp; Source'!#REF!</definedName>
    <definedName name="Requirements_KU" localSheetId="12">'[4]LGE Require &amp; Source'!#REF!</definedName>
    <definedName name="Requirements_KU" localSheetId="5">'[4]LGE Require &amp; Source'!#REF!</definedName>
    <definedName name="Requirements_KU" localSheetId="8">'[4]LGE Require &amp; Source'!#REF!</definedName>
    <definedName name="Requirements_KU" localSheetId="7">'[4]LGE Require &amp; Source'!#REF!</definedName>
    <definedName name="Requirements_KU" localSheetId="11">'[4]LGE Require &amp; Source'!#REF!</definedName>
    <definedName name="Requirements_KU" localSheetId="10">'[4]LGE Require &amp; Source'!#REF!</definedName>
    <definedName name="Requirements_KU" localSheetId="9">'[4]LGE Require &amp; Source'!#REF!</definedName>
    <definedName name="Requirements_KU">'[4]LGE Require &amp; Source'!#REF!</definedName>
    <definedName name="RevCol01">#REF!</definedName>
    <definedName name="RevCol01A">#REF!</definedName>
    <definedName name="RevCol01B" localSheetId="6">#REF!</definedName>
    <definedName name="RevCol01B" localSheetId="12">#REF!</definedName>
    <definedName name="RevCol01B" localSheetId="5">#REF!</definedName>
    <definedName name="RevCol01B" localSheetId="8">#REF!</definedName>
    <definedName name="RevCol01B" localSheetId="7">#REF!</definedName>
    <definedName name="RevCol01B" localSheetId="11">#REF!</definedName>
    <definedName name="RevCol01B" localSheetId="10">#REF!</definedName>
    <definedName name="RevCol01B" localSheetId="9">#REF!</definedName>
    <definedName name="RevCol01B">#REF!</definedName>
    <definedName name="RevCol02">#REF!</definedName>
    <definedName name="RevCol02A">#REF!</definedName>
    <definedName name="RevCol02B" localSheetId="6">#REF!</definedName>
    <definedName name="RevCol02B" localSheetId="12">#REF!</definedName>
    <definedName name="RevCol02B" localSheetId="5">#REF!</definedName>
    <definedName name="RevCol02B" localSheetId="8">#REF!</definedName>
    <definedName name="RevCol02B" localSheetId="7">#REF!</definedName>
    <definedName name="RevCol02B" localSheetId="11">#REF!</definedName>
    <definedName name="RevCol02B" localSheetId="10">#REF!</definedName>
    <definedName name="RevCol02B" localSheetId="9">#REF!</definedName>
    <definedName name="RevCol02B">#REF!</definedName>
    <definedName name="RevCol03">#REF!</definedName>
    <definedName name="RevCol04">#REF!</definedName>
    <definedName name="RevCol05">#REF!</definedName>
    <definedName name="RevCol06">#REF!</definedName>
    <definedName name="RevCol07">#REF!</definedName>
    <definedName name="RevCol08">#REF!</definedName>
    <definedName name="RevCol09">#REF!</definedName>
    <definedName name="RevCol10">#REF!</definedName>
    <definedName name="RevCol11">#REF!</definedName>
    <definedName name="RevCol12">#REF!</definedName>
    <definedName name="RevCol13">#REF!</definedName>
    <definedName name="RevCol14">#REF!</definedName>
    <definedName name="RevCol15">#REF!</definedName>
    <definedName name="RevCol16">#REF!</definedName>
    <definedName name="RevCol17">#REF!</definedName>
    <definedName name="RevCol18">#REF!</definedName>
    <definedName name="RevCol19">#REF!</definedName>
    <definedName name="RevCol20">#REF!</definedName>
    <definedName name="RevCol21">#REF!</definedName>
    <definedName name="RevCol22">#REF!</definedName>
    <definedName name="RevCol23">#REF!</definedName>
    <definedName name="RevCol24">#REF!</definedName>
    <definedName name="RevCol25">#REF!</definedName>
    <definedName name="RevCol26">#REF!</definedName>
    <definedName name="RevCol27">#REF!</definedName>
    <definedName name="RevCol28">#REF!</definedName>
    <definedName name="RevCol29">#REF!</definedName>
    <definedName name="RevCol30">#REF!</definedName>
    <definedName name="RevCol31">#REF!</definedName>
    <definedName name="RevCol32">#REF!</definedName>
    <definedName name="RevCol33">#REF!</definedName>
    <definedName name="RevCol34">#REF!</definedName>
    <definedName name="RevCol35">#REF!</definedName>
    <definedName name="RevCol36">#REF!</definedName>
    <definedName name="RevCol37">#REF!</definedName>
    <definedName name="RevColTmp" localSheetId="6">#REF!</definedName>
    <definedName name="RevColTmp" localSheetId="12">#REF!</definedName>
    <definedName name="RevColTmp" localSheetId="5">#REF!</definedName>
    <definedName name="RevColTmp" localSheetId="8">#REF!</definedName>
    <definedName name="RevColTmp" localSheetId="7">#REF!</definedName>
    <definedName name="RevColTmp" localSheetId="11">#REF!</definedName>
    <definedName name="RevColTmp" localSheetId="10">#REF!</definedName>
    <definedName name="RevColTmp" localSheetId="9">#REF!</definedName>
    <definedName name="RevColTmp">#REF!</definedName>
    <definedName name="RevColTmpA" localSheetId="6">#REF!</definedName>
    <definedName name="RevColTmpA" localSheetId="12">#REF!</definedName>
    <definedName name="RevColTmpA" localSheetId="5">#REF!</definedName>
    <definedName name="RevColTmpA" localSheetId="8">#REF!</definedName>
    <definedName name="RevColTmpA" localSheetId="7">#REF!</definedName>
    <definedName name="RevColTmpA" localSheetId="11">#REF!</definedName>
    <definedName name="RevColTmpA" localSheetId="10">#REF!</definedName>
    <definedName name="RevColTmpA" localSheetId="9">#REF!</definedName>
    <definedName name="RevColTmpA">#REF!</definedName>
    <definedName name="RevColTmpB" localSheetId="6">#REF!</definedName>
    <definedName name="RevColTmpB" localSheetId="12">#REF!</definedName>
    <definedName name="RevColTmpB" localSheetId="5">#REF!</definedName>
    <definedName name="RevColTmpB" localSheetId="8">#REF!</definedName>
    <definedName name="RevColTmpB" localSheetId="7">#REF!</definedName>
    <definedName name="RevColTmpB" localSheetId="11">#REF!</definedName>
    <definedName name="RevColTmpB" localSheetId="10">#REF!</definedName>
    <definedName name="RevColTmpB" localSheetId="9">#REF!</definedName>
    <definedName name="RevColTmpB">#REF!</definedName>
    <definedName name="revenues_hide_ku_01" localSheetId="6">'[4]KU Other Electric Revenues'!#REF!</definedName>
    <definedName name="revenues_hide_ku_01" localSheetId="12">'[4]KU Other Electric Revenues'!#REF!</definedName>
    <definedName name="revenues_hide_ku_01" localSheetId="5">'[4]KU Other Electric Revenues'!#REF!</definedName>
    <definedName name="revenues_hide_ku_01" localSheetId="8">'[4]KU Other Electric Revenues'!#REF!</definedName>
    <definedName name="revenues_hide_ku_01" localSheetId="7">'[4]KU Other Electric Revenues'!#REF!</definedName>
    <definedName name="revenues_hide_ku_01" localSheetId="11">'[4]KU Other Electric Revenues'!#REF!</definedName>
    <definedName name="revenues_hide_ku_01" localSheetId="10">'[4]KU Other Electric Revenues'!#REF!</definedName>
    <definedName name="revenues_hide_ku_01" localSheetId="9">'[4]KU Other Electric Revenues'!#REF!</definedName>
    <definedName name="revenues_hide_ku_01">'[4]KU Other Electric Revenues'!#REF!</definedName>
    <definedName name="revenues_ku_01" localSheetId="6">'[4]KU Other Electric Revenues'!#REF!</definedName>
    <definedName name="revenues_ku_01" localSheetId="12">'[4]KU Other Electric Revenues'!#REF!</definedName>
    <definedName name="revenues_ku_01" localSheetId="5">'[4]KU Other Electric Revenues'!#REF!</definedName>
    <definedName name="revenues_ku_01" localSheetId="8">'[4]KU Other Electric Revenues'!#REF!</definedName>
    <definedName name="revenues_ku_01" localSheetId="7">'[4]KU Other Electric Revenues'!#REF!</definedName>
    <definedName name="revenues_ku_01" localSheetId="11">'[4]KU Other Electric Revenues'!#REF!</definedName>
    <definedName name="revenues_ku_01" localSheetId="10">'[4]KU Other Electric Revenues'!#REF!</definedName>
    <definedName name="revenues_ku_01" localSheetId="9">'[4]KU Other Electric Revenues'!#REF!</definedName>
    <definedName name="revenues_ku_01">'[4]KU Other Electric Revenues'!#REF!</definedName>
    <definedName name="RowDetails1">#REF!</definedName>
    <definedName name="RPTCOL">#REF!</definedName>
    <definedName name="RPTROW">#REF!</definedName>
    <definedName name="Sales" localSheetId="6">'[4]LGE Sales'!#REF!</definedName>
    <definedName name="Sales" localSheetId="12">'[4]LGE Sales'!#REF!</definedName>
    <definedName name="Sales" localSheetId="5">'[4]LGE Sales'!#REF!</definedName>
    <definedName name="Sales" localSheetId="8">'[4]LGE Sales'!#REF!</definedName>
    <definedName name="Sales" localSheetId="7">'[4]LGE Sales'!#REF!</definedName>
    <definedName name="Sales" localSheetId="11">'[4]LGE Sales'!#REF!</definedName>
    <definedName name="Sales" localSheetId="10">'[4]LGE Sales'!#REF!</definedName>
    <definedName name="Sales" localSheetId="9">'[4]LGE Sales'!#REF!</definedName>
    <definedName name="Sales">'[4]LGE Sales'!#REF!</definedName>
    <definedName name="sales_hide_ku_01" localSheetId="6">'[4]LGE Sales'!#REF!</definedName>
    <definedName name="sales_hide_ku_01" localSheetId="12">'[4]LGE Sales'!#REF!</definedName>
    <definedName name="sales_hide_ku_01" localSheetId="5">'[4]LGE Sales'!#REF!</definedName>
    <definedName name="sales_hide_ku_01" localSheetId="8">'[4]LGE Sales'!#REF!</definedName>
    <definedName name="sales_hide_ku_01" localSheetId="7">'[4]LGE Sales'!#REF!</definedName>
    <definedName name="sales_hide_ku_01" localSheetId="11">'[4]LGE Sales'!#REF!</definedName>
    <definedName name="sales_hide_ku_01" localSheetId="10">'[4]LGE Sales'!#REF!</definedName>
    <definedName name="sales_hide_ku_01" localSheetId="9">'[4]LGE Sales'!#REF!</definedName>
    <definedName name="sales_hide_ku_01">'[4]LGE Sales'!#REF!</definedName>
    <definedName name="sales_ku_01" localSheetId="6">'[4]LGE Sales'!#REF!</definedName>
    <definedName name="sales_ku_01" localSheetId="12">'[4]LGE Sales'!#REF!</definedName>
    <definedName name="sales_ku_01" localSheetId="5">'[4]LGE Sales'!#REF!</definedName>
    <definedName name="sales_ku_01" localSheetId="8">'[4]LGE Sales'!#REF!</definedName>
    <definedName name="sales_ku_01" localSheetId="7">'[4]LGE Sales'!#REF!</definedName>
    <definedName name="sales_ku_01" localSheetId="11">'[4]LGE Sales'!#REF!</definedName>
    <definedName name="sales_ku_01" localSheetId="10">'[4]LGE Sales'!#REF!</definedName>
    <definedName name="sales_ku_01" localSheetId="9">'[4]LGE Sales'!#REF!</definedName>
    <definedName name="sales_ku_01">'[4]LGE Sales'!#REF!</definedName>
    <definedName name="sales_title_ku" localSheetId="6">'[4]LGE Sales'!#REF!</definedName>
    <definedName name="sales_title_ku" localSheetId="12">'[4]LGE Sales'!#REF!</definedName>
    <definedName name="sales_title_ku" localSheetId="5">'[4]LGE Sales'!#REF!</definedName>
    <definedName name="sales_title_ku" localSheetId="8">'[4]LGE Sales'!#REF!</definedName>
    <definedName name="sales_title_ku" localSheetId="7">'[4]LGE Sales'!#REF!</definedName>
    <definedName name="sales_title_ku" localSheetId="11">'[4]LGE Sales'!#REF!</definedName>
    <definedName name="sales_title_ku" localSheetId="10">'[4]LGE Sales'!#REF!</definedName>
    <definedName name="sales_title_ku" localSheetId="9">'[4]LGE Sales'!#REF!</definedName>
    <definedName name="sales_title_ku">'[4]LGE Sales'!#REF!</definedName>
    <definedName name="SCHEDZ">#REF!</definedName>
    <definedName name="shoot" localSheetId="6">#REF!</definedName>
    <definedName name="shoot" localSheetId="12">#REF!</definedName>
    <definedName name="shoot" localSheetId="5">#REF!</definedName>
    <definedName name="shoot" localSheetId="8">#REF!</definedName>
    <definedName name="shoot" localSheetId="7">#REF!</definedName>
    <definedName name="shoot" localSheetId="11">#REF!</definedName>
    <definedName name="shoot" localSheetId="10">#REF!</definedName>
    <definedName name="shoot" localSheetId="9">#REF!</definedName>
    <definedName name="shoot">#REF!</definedName>
    <definedName name="START">#REF!</definedName>
    <definedName name="START2">#REF!</definedName>
    <definedName name="START3">#REF!</definedName>
    <definedName name="Support">#REF!</definedName>
    <definedName name="SUPPORT5">#REF!</definedName>
    <definedName name="SUPPORT6" localSheetId="6">#REF!</definedName>
    <definedName name="SUPPORT6" localSheetId="12">#REF!</definedName>
    <definedName name="SUPPORT6" localSheetId="5">#REF!</definedName>
    <definedName name="SUPPORT6" localSheetId="8">#REF!</definedName>
    <definedName name="SUPPORT6" localSheetId="7">#REF!</definedName>
    <definedName name="SUPPORT6" localSheetId="11">#REF!</definedName>
    <definedName name="SUPPORT6" localSheetId="10">#REF!</definedName>
    <definedName name="SUPPORT6" localSheetId="9">#REF!</definedName>
    <definedName name="SUPPORT6">#REF!</definedName>
    <definedName name="TAX_RATE" localSheetId="6">'[7]#REF'!#REF!</definedName>
    <definedName name="TAX_RATE" localSheetId="12">'[7]#REF'!#REF!</definedName>
    <definedName name="TAX_RATE" localSheetId="5">'[7]#REF'!#REF!</definedName>
    <definedName name="TAX_RATE" localSheetId="8">'[7]#REF'!#REF!</definedName>
    <definedName name="TAX_RATE" localSheetId="7">'[7]#REF'!#REF!</definedName>
    <definedName name="TAX_RATE" localSheetId="11">'[7]#REF'!#REF!</definedName>
    <definedName name="TAX_RATE" localSheetId="10">'[7]#REF'!#REF!</definedName>
    <definedName name="TAX_RATE" localSheetId="9">'[7]#REF'!#REF!</definedName>
    <definedName name="TAX_RATE">'[7]#REF'!#REF!</definedName>
    <definedName name="TempReptgMo">[5]Input!$AG$19</definedName>
    <definedName name="TempReptgYr">[5]Input!$AG$21</definedName>
    <definedName name="TenyrNIAC">#REF!</definedName>
    <definedName name="TenyrRev">#REF!</definedName>
    <definedName name="test">[0]!test</definedName>
    <definedName name="Title">#REF!</definedName>
    <definedName name="Title_Choice">#REF!</definedName>
    <definedName name="Titles">#REF!</definedName>
    <definedName name="Titles_KU">#REF!</definedName>
    <definedName name="ttt" localSheetId="6">#REF!</definedName>
    <definedName name="ttt" localSheetId="12">#REF!</definedName>
    <definedName name="ttt" localSheetId="5">#REF!</definedName>
    <definedName name="ttt" localSheetId="8">#REF!</definedName>
    <definedName name="ttt" localSheetId="7">#REF!</definedName>
    <definedName name="ttt" localSheetId="11">#REF!</definedName>
    <definedName name="ttt" localSheetId="10">#REF!</definedName>
    <definedName name="ttt" localSheetId="9">#REF!</definedName>
    <definedName name="ttt">#REF!</definedName>
    <definedName name="UpdateDate">[5]Input!$M$12</definedName>
    <definedName name="UpdateTime">[5]Input!$O$12</definedName>
    <definedName name="Variance">#REF!</definedName>
    <definedName name="VIEW1">#REF!</definedName>
    <definedName name="vol_rev_annual_ku" localSheetId="6">'[4]LGE Retail Margin'!#REF!</definedName>
    <definedName name="vol_rev_annual_ku" localSheetId="12">'[4]LGE Retail Margin'!#REF!</definedName>
    <definedName name="vol_rev_annual_ku" localSheetId="5">'[4]LGE Retail Margin'!#REF!</definedName>
    <definedName name="vol_rev_annual_ku" localSheetId="8">'[4]LGE Retail Margin'!#REF!</definedName>
    <definedName name="vol_rev_annual_ku" localSheetId="7">'[4]LGE Retail Margin'!#REF!</definedName>
    <definedName name="vol_rev_annual_ku" localSheetId="11">'[4]LGE Retail Margin'!#REF!</definedName>
    <definedName name="vol_rev_annual_ku" localSheetId="10">'[4]LGE Retail Margin'!#REF!</definedName>
    <definedName name="vol_rev_annual_ku" localSheetId="9">'[4]LGE Retail Margin'!#REF!</definedName>
    <definedName name="vol_rev_annual_ku">'[4]LGE Retail Margin'!#REF!</definedName>
    <definedName name="vol_rev_hide_ku_monthly" localSheetId="6">'[4]LGE Retail Margin'!#REF!</definedName>
    <definedName name="vol_rev_hide_ku_monthly" localSheetId="12">'[4]LGE Retail Margin'!#REF!</definedName>
    <definedName name="vol_rev_hide_ku_monthly" localSheetId="5">'[4]LGE Retail Margin'!#REF!</definedName>
    <definedName name="vol_rev_hide_ku_monthly" localSheetId="8">'[4]LGE Retail Margin'!#REF!</definedName>
    <definedName name="vol_rev_hide_ku_monthly" localSheetId="7">'[4]LGE Retail Margin'!#REF!</definedName>
    <definedName name="vol_rev_hide_ku_monthly" localSheetId="11">'[4]LGE Retail Margin'!#REF!</definedName>
    <definedName name="vol_rev_hide_ku_monthly" localSheetId="10">'[4]LGE Retail Margin'!#REF!</definedName>
    <definedName name="vol_rev_hide_ku_monthly" localSheetId="9">'[4]LGE Retail Margin'!#REF!</definedName>
    <definedName name="vol_rev_hide_ku_monthly">'[4]LGE Retail Margin'!#REF!</definedName>
    <definedName name="vol_rev_hide_lge_01" localSheetId="6">'[4]LGE Retail Margin'!#REF!</definedName>
    <definedName name="vol_rev_hide_lge_01" localSheetId="12">'[4]LGE Retail Margin'!#REF!</definedName>
    <definedName name="vol_rev_hide_lge_01" localSheetId="5">'[4]LGE Retail Margin'!#REF!</definedName>
    <definedName name="vol_rev_hide_lge_01" localSheetId="8">'[4]LGE Retail Margin'!#REF!</definedName>
    <definedName name="vol_rev_hide_lge_01" localSheetId="7">'[4]LGE Retail Margin'!#REF!</definedName>
    <definedName name="vol_rev_hide_lge_01" localSheetId="11">'[4]LGE Retail Margin'!#REF!</definedName>
    <definedName name="vol_rev_hide_lge_01" localSheetId="10">'[4]LGE Retail Margin'!#REF!</definedName>
    <definedName name="vol_rev_hide_lge_01" localSheetId="9">'[4]LGE Retail Margin'!#REF!</definedName>
    <definedName name="vol_rev_hide_lge_01">'[4]LGE Retail Margin'!#REF!</definedName>
    <definedName name="vol_rev_ku_monthly" localSheetId="6">'[4]LGE Retail Margin'!#REF!</definedName>
    <definedName name="vol_rev_ku_monthly" localSheetId="5">'[4]LGE Retail Margin'!#REF!</definedName>
    <definedName name="vol_rev_ku_monthly" localSheetId="8">'[4]LGE Retail Margin'!#REF!</definedName>
    <definedName name="vol_rev_ku_monthly" localSheetId="9">'[4]LGE Retail Margin'!#REF!</definedName>
    <definedName name="vol_rev_ku_monthly">'[4]LGE Retail Margin'!#REF!</definedName>
    <definedName name="volrev_data" localSheetId="6">'[4]LGE Retail Margin'!#REF!</definedName>
    <definedName name="volrev_data" localSheetId="9">'[4]LGE Retail Margin'!#REF!</definedName>
    <definedName name="YTD">#REF!</definedName>
  </definedNames>
  <calcPr calcId="145621"/>
</workbook>
</file>

<file path=xl/calcChain.xml><?xml version="1.0" encoding="utf-8"?>
<calcChain xmlns="http://schemas.openxmlformats.org/spreadsheetml/2006/main">
  <c r="T1178" i="2" l="1"/>
  <c r="U1178" i="2" s="1"/>
  <c r="F1176" i="2"/>
  <c r="S1176" i="2"/>
  <c r="J49" i="14"/>
  <c r="F1025" i="2"/>
  <c r="F1072" i="2" s="1"/>
  <c r="K1217" i="2"/>
  <c r="O22" i="8"/>
  <c r="N22" i="8"/>
  <c r="M1150" i="2" s="1"/>
  <c r="M1169" i="2" s="1"/>
  <c r="M22" i="8"/>
  <c r="L22" i="8"/>
  <c r="K22" i="8"/>
  <c r="M1199" i="2"/>
  <c r="K1199" i="2"/>
  <c r="O16" i="8"/>
  <c r="O36" i="8" s="1"/>
  <c r="N16" i="8"/>
  <c r="M16" i="8"/>
  <c r="K16" i="8"/>
  <c r="G20" i="8"/>
  <c r="G16" i="8"/>
  <c r="K1113" i="2" s="1"/>
  <c r="D16" i="8"/>
  <c r="K1119" i="2" s="1"/>
  <c r="D20" i="8"/>
  <c r="L20" i="8" s="1"/>
  <c r="F20" i="8"/>
  <c r="F16" i="8"/>
  <c r="T1071" i="2"/>
  <c r="U1071" i="2" s="1"/>
  <c r="V1071" i="2" s="1"/>
  <c r="E1037" i="2"/>
  <c r="G1060" i="2"/>
  <c r="H1060" i="2"/>
  <c r="I1060" i="2"/>
  <c r="J1060" i="2"/>
  <c r="K1060" i="2"/>
  <c r="L1060" i="2"/>
  <c r="M1060" i="2"/>
  <c r="N1060" i="2"/>
  <c r="O1060" i="2"/>
  <c r="P1060" i="2"/>
  <c r="Q1060" i="2"/>
  <c r="R1060" i="2"/>
  <c r="F1060" i="2"/>
  <c r="E1084" i="2"/>
  <c r="S1090" i="2"/>
  <c r="S1084" i="2"/>
  <c r="S1082" i="2"/>
  <c r="S1080" i="2"/>
  <c r="T1073" i="2"/>
  <c r="U1073" i="2" s="1"/>
  <c r="V1073" i="2" s="1"/>
  <c r="S1069" i="2"/>
  <c r="Q897" i="2"/>
  <c r="Q911" i="2" s="1"/>
  <c r="Q864" i="2"/>
  <c r="O1150" i="2"/>
  <c r="O1169" i="2" s="1"/>
  <c r="O1151" i="2"/>
  <c r="O1162" i="2" s="1"/>
  <c r="H49" i="26"/>
  <c r="G49" i="26"/>
  <c r="H49" i="25"/>
  <c r="G49" i="25"/>
  <c r="H49" i="21"/>
  <c r="G49" i="21"/>
  <c r="H49" i="19"/>
  <c r="G49" i="19"/>
  <c r="H49" i="17"/>
  <c r="G49" i="17"/>
  <c r="O1217" i="2"/>
  <c r="M1217" i="2"/>
  <c r="M1220" i="2"/>
  <c r="T1026" i="2"/>
  <c r="U1026" i="2" s="1"/>
  <c r="T1112" i="2"/>
  <c r="U1112" i="2" s="1"/>
  <c r="O1218" i="2"/>
  <c r="F858" i="2"/>
  <c r="K1151" i="2"/>
  <c r="I1146" i="2"/>
  <c r="F985" i="2"/>
  <c r="S982" i="2"/>
  <c r="S927" i="2"/>
  <c r="S925" i="2"/>
  <c r="F919" i="2"/>
  <c r="F929" i="2" s="1"/>
  <c r="S1037" i="2"/>
  <c r="R1191" i="2"/>
  <c r="Q1191" i="2"/>
  <c r="P1191" i="2"/>
  <c r="O1191" i="2"/>
  <c r="N1191" i="2"/>
  <c r="L1191" i="2"/>
  <c r="M1191" i="2"/>
  <c r="K1191" i="2"/>
  <c r="J1191" i="2"/>
  <c r="I1191" i="2"/>
  <c r="H1191" i="2"/>
  <c r="G1191" i="2"/>
  <c r="O1113" i="2"/>
  <c r="M1146" i="2"/>
  <c r="R1151" i="2"/>
  <c r="Q1151" i="2"/>
  <c r="P1151" i="2"/>
  <c r="N1151" i="2"/>
  <c r="M1151" i="2"/>
  <c r="L1151" i="2"/>
  <c r="L1162" i="2" s="1"/>
  <c r="J1151" i="2"/>
  <c r="I1151" i="2"/>
  <c r="H1151" i="2"/>
  <c r="H1162" i="2" s="1"/>
  <c r="G1151" i="2"/>
  <c r="R1150" i="2"/>
  <c r="R1169" i="2" s="1"/>
  <c r="Q1150" i="2"/>
  <c r="P1150" i="2"/>
  <c r="P884" i="2" s="1"/>
  <c r="N1150" i="2"/>
  <c r="N1169" i="2" s="1"/>
  <c r="L1150" i="2"/>
  <c r="L1169" i="2" s="1"/>
  <c r="K1150" i="2"/>
  <c r="K1169" i="2" s="1"/>
  <c r="J1150" i="2"/>
  <c r="I1150" i="2"/>
  <c r="H1150" i="2"/>
  <c r="G1150" i="2"/>
  <c r="L1149" i="2"/>
  <c r="J1149" i="2"/>
  <c r="I1149" i="2"/>
  <c r="H1149" i="2"/>
  <c r="H871" i="2" s="1"/>
  <c r="G1149" i="2"/>
  <c r="R1146" i="2"/>
  <c r="R1147" i="2" s="1"/>
  <c r="Q1146" i="2"/>
  <c r="P1146" i="2"/>
  <c r="O1146" i="2"/>
  <c r="N1146" i="2"/>
  <c r="L1146" i="2"/>
  <c r="K1146" i="2"/>
  <c r="J1146" i="2"/>
  <c r="J1147" i="2" s="1"/>
  <c r="J1148" i="2" s="1"/>
  <c r="H1146" i="2"/>
  <c r="H1147" i="2" s="1"/>
  <c r="G1146" i="2"/>
  <c r="G1147" i="2" s="1"/>
  <c r="T1155" i="2"/>
  <c r="U1155" i="2" s="1"/>
  <c r="V1155" i="2" s="1"/>
  <c r="T1156" i="2"/>
  <c r="U1156" i="2" s="1"/>
  <c r="V1156" i="2" s="1"/>
  <c r="T1157" i="2"/>
  <c r="U1157" i="2" s="1"/>
  <c r="V1157" i="2" s="1"/>
  <c r="T1158" i="2"/>
  <c r="U1158" i="2"/>
  <c r="V1158" i="2" s="1"/>
  <c r="S1197" i="2"/>
  <c r="F1197" i="2"/>
  <c r="F848" i="2"/>
  <c r="R1120" i="2"/>
  <c r="Q1120" i="2"/>
  <c r="P1120" i="2"/>
  <c r="O1120" i="2"/>
  <c r="M1120" i="2"/>
  <c r="L1120" i="2"/>
  <c r="K1120" i="2"/>
  <c r="J1120" i="2"/>
  <c r="I1120" i="2"/>
  <c r="I1121" i="2" s="1"/>
  <c r="H1120" i="2"/>
  <c r="G1120" i="2"/>
  <c r="F1113" i="2"/>
  <c r="E26" i="7"/>
  <c r="F26" i="7" s="1"/>
  <c r="C24" i="6"/>
  <c r="E26" i="6"/>
  <c r="N1220" i="2"/>
  <c r="H1220" i="2"/>
  <c r="H679" i="2" s="1"/>
  <c r="I1220" i="2"/>
  <c r="J1220" i="2"/>
  <c r="J679" i="2" s="1"/>
  <c r="L1220" i="2"/>
  <c r="L821" i="2" s="1"/>
  <c r="P1220" i="2"/>
  <c r="P679" i="2" s="1"/>
  <c r="Q1220" i="2"/>
  <c r="Q679" i="2" s="1"/>
  <c r="R1220" i="2"/>
  <c r="R679" i="2" s="1"/>
  <c r="G1220" i="2"/>
  <c r="G679" i="2" s="1"/>
  <c r="J36" i="8"/>
  <c r="F1193" i="2" s="1"/>
  <c r="L24" i="8"/>
  <c r="G8" i="8"/>
  <c r="G1113" i="2" s="1"/>
  <c r="E26" i="8"/>
  <c r="C26" i="8"/>
  <c r="N1125" i="2" s="1"/>
  <c r="D26" i="6"/>
  <c r="E24" i="7"/>
  <c r="F24" i="7" s="1"/>
  <c r="C24" i="8"/>
  <c r="D24" i="6" s="1"/>
  <c r="C18" i="8"/>
  <c r="D20" i="6" s="1"/>
  <c r="B36" i="8"/>
  <c r="C14" i="8"/>
  <c r="D16" i="6" s="1"/>
  <c r="C12" i="8"/>
  <c r="D14" i="7"/>
  <c r="C10" i="8"/>
  <c r="C8" i="8"/>
  <c r="I36" i="8"/>
  <c r="I39" i="8"/>
  <c r="H36" i="8"/>
  <c r="H39" i="8" s="1"/>
  <c r="R1113" i="2"/>
  <c r="Q1113" i="2"/>
  <c r="P1113" i="2"/>
  <c r="N1113" i="2"/>
  <c r="L1113" i="2"/>
  <c r="J1113" i="2"/>
  <c r="I1113" i="2"/>
  <c r="H1113" i="2"/>
  <c r="T1111" i="2"/>
  <c r="U1111" i="2" s="1"/>
  <c r="F660" i="2"/>
  <c r="F666" i="2"/>
  <c r="F665" i="2"/>
  <c r="F664" i="2"/>
  <c r="F663" i="2"/>
  <c r="F662" i="2"/>
  <c r="F661" i="2"/>
  <c r="F659" i="2"/>
  <c r="F658" i="2"/>
  <c r="F657" i="2"/>
  <c r="F1115" i="2"/>
  <c r="C53" i="8"/>
  <c r="C51" i="8"/>
  <c r="C48" i="8"/>
  <c r="D48" i="8" s="1"/>
  <c r="C47" i="8"/>
  <c r="D47" i="8" s="1"/>
  <c r="C46" i="8"/>
  <c r="D46" i="8"/>
  <c r="C45" i="8"/>
  <c r="D45" i="8" s="1"/>
  <c r="C44" i="8"/>
  <c r="D44" i="8"/>
  <c r="B53" i="8"/>
  <c r="B52" i="8"/>
  <c r="B51" i="8"/>
  <c r="B49" i="8"/>
  <c r="F1121" i="2"/>
  <c r="T1190" i="2"/>
  <c r="U1190" i="2" s="1"/>
  <c r="V1190" i="2" s="1"/>
  <c r="R1196" i="2"/>
  <c r="Q1196" i="2"/>
  <c r="P1196" i="2"/>
  <c r="R1193" i="2"/>
  <c r="Q1193" i="2"/>
  <c r="P1193" i="2"/>
  <c r="O1193" i="2"/>
  <c r="N1193" i="2"/>
  <c r="M1193" i="2"/>
  <c r="L1193" i="2"/>
  <c r="K1193" i="2"/>
  <c r="J1193" i="2"/>
  <c r="I1193" i="2"/>
  <c r="H1193" i="2"/>
  <c r="G1193" i="2"/>
  <c r="R1110" i="2"/>
  <c r="Q1110" i="2"/>
  <c r="P1110" i="2"/>
  <c r="O1110" i="2"/>
  <c r="O1114" i="2" s="1"/>
  <c r="N1110" i="2"/>
  <c r="L1110" i="2"/>
  <c r="J1110" i="2"/>
  <c r="J1114" i="2" s="1"/>
  <c r="I1110" i="2"/>
  <c r="H1110" i="2"/>
  <c r="G1110" i="2"/>
  <c r="R1119" i="2"/>
  <c r="Q1119" i="2"/>
  <c r="P1119" i="2"/>
  <c r="O1119" i="2"/>
  <c r="N1119" i="2"/>
  <c r="N867" i="2" s="1"/>
  <c r="L1119" i="2"/>
  <c r="J1119" i="2"/>
  <c r="I1119" i="2"/>
  <c r="H1119" i="2"/>
  <c r="G1119" i="2"/>
  <c r="R1136" i="2"/>
  <c r="R1137" i="2" s="1"/>
  <c r="R1141" i="2"/>
  <c r="R1142" i="2" s="1"/>
  <c r="Q1136" i="2"/>
  <c r="Q1137" i="2" s="1"/>
  <c r="Q1141" i="2" s="1"/>
  <c r="P1136" i="2"/>
  <c r="P1137" i="2" s="1"/>
  <c r="O1136" i="2"/>
  <c r="N1136" i="2"/>
  <c r="I49" i="25"/>
  <c r="M1136" i="2"/>
  <c r="I49" i="21" s="1"/>
  <c r="L1136" i="2"/>
  <c r="J49" i="20" s="1"/>
  <c r="K1136" i="2"/>
  <c r="J49" i="19" s="1"/>
  <c r="J1136" i="2"/>
  <c r="I1136" i="2"/>
  <c r="H1136" i="2"/>
  <c r="G1136" i="2"/>
  <c r="G1137" i="2" s="1"/>
  <c r="R1125" i="2"/>
  <c r="R1126" i="2" s="1"/>
  <c r="R1127" i="2" s="1"/>
  <c r="R1128" i="2" s="1"/>
  <c r="Q1125" i="2"/>
  <c r="P1125" i="2"/>
  <c r="P1126" i="2" s="1"/>
  <c r="P1127" i="2" s="1"/>
  <c r="O1125" i="2"/>
  <c r="O1126" i="2" s="1"/>
  <c r="O1127" i="2" s="1"/>
  <c r="C30" i="7"/>
  <c r="E34" i="7"/>
  <c r="F34" i="7" s="1"/>
  <c r="E32" i="7"/>
  <c r="E30" i="7"/>
  <c r="E28" i="7"/>
  <c r="F28" i="7" s="1"/>
  <c r="E22" i="7"/>
  <c r="F22" i="7" s="1"/>
  <c r="E20" i="7"/>
  <c r="F20" i="7"/>
  <c r="E16" i="7"/>
  <c r="E14" i="7"/>
  <c r="F14" i="7"/>
  <c r="E12" i="7"/>
  <c r="F12" i="7" s="1"/>
  <c r="E10" i="7"/>
  <c r="E34" i="6"/>
  <c r="E32" i="6"/>
  <c r="E30" i="6"/>
  <c r="F30" i="6" s="1"/>
  <c r="E28" i="6"/>
  <c r="F28" i="6"/>
  <c r="E22" i="6"/>
  <c r="F22" i="6" s="1"/>
  <c r="E20" i="6"/>
  <c r="F20" i="6" s="1"/>
  <c r="E18" i="6"/>
  <c r="F18" i="6" s="1"/>
  <c r="E16" i="6"/>
  <c r="F16" i="6"/>
  <c r="E14" i="6"/>
  <c r="F14" i="6" s="1"/>
  <c r="E12" i="6"/>
  <c r="F12" i="6" s="1"/>
  <c r="E10" i="6"/>
  <c r="F10" i="6" s="1"/>
  <c r="D34" i="7"/>
  <c r="D32" i="7"/>
  <c r="D30" i="7"/>
  <c r="D28" i="7"/>
  <c r="D12" i="7"/>
  <c r="D34" i="6"/>
  <c r="D32" i="6"/>
  <c r="D30" i="6"/>
  <c r="D28" i="6"/>
  <c r="C34" i="6"/>
  <c r="C32" i="6"/>
  <c r="F32" i="6"/>
  <c r="F26" i="6"/>
  <c r="F142" i="1"/>
  <c r="J142" i="1"/>
  <c r="C32" i="7"/>
  <c r="F32" i="7" s="1"/>
  <c r="C34" i="7"/>
  <c r="K63" i="7"/>
  <c r="L12" i="7"/>
  <c r="L8" i="8"/>
  <c r="L10" i="8"/>
  <c r="L12" i="8"/>
  <c r="L14" i="8"/>
  <c r="L18" i="8"/>
  <c r="L26" i="8"/>
  <c r="L28" i="8"/>
  <c r="L30" i="8"/>
  <c r="L32" i="8"/>
  <c r="L34" i="8"/>
  <c r="E1" i="2"/>
  <c r="F1" i="2" s="1"/>
  <c r="G1" i="2" s="1"/>
  <c r="F678" i="2"/>
  <c r="F820" i="2" s="1"/>
  <c r="F679" i="2"/>
  <c r="F680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T721" i="2"/>
  <c r="U721" i="2" s="1"/>
  <c r="G725" i="2"/>
  <c r="H725" i="2"/>
  <c r="I725" i="2"/>
  <c r="J725" i="2"/>
  <c r="K725" i="2" s="1"/>
  <c r="L725" i="2" s="1"/>
  <c r="O725" i="2"/>
  <c r="P725" i="2"/>
  <c r="Q725" i="2" s="1"/>
  <c r="R725" i="2" s="1"/>
  <c r="T725" i="2" s="1"/>
  <c r="G763" i="2"/>
  <c r="H763" i="2"/>
  <c r="I763" i="2"/>
  <c r="J763" i="2"/>
  <c r="K763" i="2" s="1"/>
  <c r="L763" i="2" s="1"/>
  <c r="O763" i="2"/>
  <c r="P763" i="2" s="1"/>
  <c r="Q763" i="2" s="1"/>
  <c r="R763" i="2" s="1"/>
  <c r="T763" i="2" s="1"/>
  <c r="G769" i="2"/>
  <c r="T769" i="2" s="1"/>
  <c r="U769" i="2" s="1"/>
  <c r="H769" i="2"/>
  <c r="I769" i="2"/>
  <c r="J769" i="2"/>
  <c r="K769" i="2"/>
  <c r="L769" i="2"/>
  <c r="M769" i="2"/>
  <c r="N769" i="2"/>
  <c r="O769" i="2"/>
  <c r="P769" i="2"/>
  <c r="Q769" i="2"/>
  <c r="R769" i="2"/>
  <c r="G771" i="2"/>
  <c r="T771" i="2" s="1"/>
  <c r="U771" i="2" s="1"/>
  <c r="H771" i="2"/>
  <c r="I771" i="2"/>
  <c r="J771" i="2"/>
  <c r="K771" i="2"/>
  <c r="L771" i="2"/>
  <c r="M771" i="2"/>
  <c r="N771" i="2"/>
  <c r="O771" i="2"/>
  <c r="P771" i="2"/>
  <c r="Q771" i="2"/>
  <c r="R771" i="2"/>
  <c r="S809" i="2"/>
  <c r="F821" i="2"/>
  <c r="F822" i="2" s="1"/>
  <c r="S860" i="2"/>
  <c r="T953" i="2"/>
  <c r="U953" i="2" s="1"/>
  <c r="V953" i="2" s="1"/>
  <c r="F965" i="2"/>
  <c r="S965" i="2"/>
  <c r="S992" i="2" s="1"/>
  <c r="T1024" i="2"/>
  <c r="U1024" i="2" s="1"/>
  <c r="S1033" i="2"/>
  <c r="S1035" i="2"/>
  <c r="T1129" i="2"/>
  <c r="O1135" i="2"/>
  <c r="P1135" i="2"/>
  <c r="Q1135" i="2"/>
  <c r="R1135" i="2"/>
  <c r="O1149" i="2"/>
  <c r="F1162" i="2"/>
  <c r="T1164" i="2"/>
  <c r="U1164" i="2" s="1"/>
  <c r="V1164" i="2" s="1"/>
  <c r="F1169" i="2"/>
  <c r="T1171" i="2"/>
  <c r="U1171" i="2" s="1"/>
  <c r="V1171" i="2" s="1"/>
  <c r="S1184" i="2"/>
  <c r="T1187" i="2"/>
  <c r="U1187" i="2" s="1"/>
  <c r="V1187" i="2" s="1"/>
  <c r="T1188" i="2"/>
  <c r="U1188" i="2" s="1"/>
  <c r="V1188" i="2" s="1"/>
  <c r="T1192" i="2"/>
  <c r="U1192" i="2" s="1"/>
  <c r="V1192" i="2" s="1"/>
  <c r="T1194" i="2"/>
  <c r="U1194" i="2" s="1"/>
  <c r="V1194" i="2" s="1"/>
  <c r="T1195" i="2"/>
  <c r="U1195" i="2"/>
  <c r="V1195" i="2" s="1"/>
  <c r="F1208" i="2"/>
  <c r="F1209" i="2" s="1"/>
  <c r="F8" i="1"/>
  <c r="F9" i="1"/>
  <c r="F12" i="1"/>
  <c r="F10" i="1"/>
  <c r="G12" i="1"/>
  <c r="F16" i="1"/>
  <c r="H16" i="1"/>
  <c r="K16" i="1"/>
  <c r="L16" i="1"/>
  <c r="M16" i="1"/>
  <c r="O16" i="1"/>
  <c r="P16" i="1"/>
  <c r="Q16" i="1"/>
  <c r="S16" i="1"/>
  <c r="T16" i="1"/>
  <c r="U16" i="1"/>
  <c r="V16" i="1"/>
  <c r="W16" i="1"/>
  <c r="X16" i="1"/>
  <c r="Y16" i="1"/>
  <c r="Z16" i="1"/>
  <c r="AA16" i="1"/>
  <c r="AB16" i="1"/>
  <c r="AC16" i="1"/>
  <c r="AD16" i="1"/>
  <c r="AF16" i="1"/>
  <c r="AH16" i="1"/>
  <c r="AJ16" i="1"/>
  <c r="F20" i="1"/>
  <c r="H20" i="1"/>
  <c r="K20" i="1"/>
  <c r="L20" i="1"/>
  <c r="M20" i="1"/>
  <c r="O20" i="1"/>
  <c r="P20" i="1"/>
  <c r="Q20" i="1"/>
  <c r="Q26" i="1" s="1"/>
  <c r="S20" i="1"/>
  <c r="T20" i="1"/>
  <c r="U20" i="1"/>
  <c r="V20" i="1"/>
  <c r="V26" i="1" s="1"/>
  <c r="W20" i="1"/>
  <c r="X20" i="1"/>
  <c r="Y20" i="1"/>
  <c r="Z20" i="1"/>
  <c r="Z26" i="1" s="1"/>
  <c r="Z568" i="1" s="1"/>
  <c r="AA20" i="1"/>
  <c r="AB20" i="1"/>
  <c r="AC20" i="1"/>
  <c r="AD20" i="1"/>
  <c r="AF20" i="1"/>
  <c r="AH20" i="1"/>
  <c r="AJ20" i="1"/>
  <c r="F24" i="1"/>
  <c r="K24" i="1"/>
  <c r="L24" i="1"/>
  <c r="M24" i="1"/>
  <c r="O24" i="1"/>
  <c r="P24" i="1"/>
  <c r="Q24" i="1"/>
  <c r="S24" i="1"/>
  <c r="T24" i="1"/>
  <c r="U24" i="1"/>
  <c r="V24" i="1"/>
  <c r="W24" i="1"/>
  <c r="X24" i="1"/>
  <c r="Y24" i="1"/>
  <c r="Z24" i="1"/>
  <c r="AA24" i="1"/>
  <c r="AB24" i="1"/>
  <c r="AC24" i="1"/>
  <c r="AD24" i="1"/>
  <c r="AF24" i="1"/>
  <c r="AH24" i="1"/>
  <c r="AJ24" i="1"/>
  <c r="F29" i="1"/>
  <c r="Q29" i="1"/>
  <c r="H29" i="1"/>
  <c r="I29" i="1"/>
  <c r="J29" i="1"/>
  <c r="K29" i="1"/>
  <c r="K32" i="1" s="1"/>
  <c r="L29" i="1"/>
  <c r="M29" i="1"/>
  <c r="S29" i="1"/>
  <c r="T29" i="1"/>
  <c r="T32" i="1" s="1"/>
  <c r="T237" i="1" s="1"/>
  <c r="U29" i="1"/>
  <c r="V29" i="1"/>
  <c r="W29" i="1"/>
  <c r="X29" i="1"/>
  <c r="X32" i="1" s="1"/>
  <c r="X438" i="1" s="1"/>
  <c r="Y29" i="1"/>
  <c r="Y32" i="1" s="1"/>
  <c r="Z29" i="1"/>
  <c r="AA29" i="1"/>
  <c r="AB29" i="1"/>
  <c r="AC29" i="1"/>
  <c r="AD29" i="1"/>
  <c r="AF29" i="1"/>
  <c r="AH29" i="1"/>
  <c r="AH32" i="1" s="1"/>
  <c r="AH238" i="1" s="1"/>
  <c r="AJ29" i="1"/>
  <c r="F30" i="1"/>
  <c r="H30" i="1"/>
  <c r="I30" i="1"/>
  <c r="I32" i="1" s="1"/>
  <c r="I580" i="1" s="1"/>
  <c r="J30" i="1"/>
  <c r="K30" i="1"/>
  <c r="L30" i="1"/>
  <c r="M30" i="1"/>
  <c r="M32" i="1" s="1"/>
  <c r="S30" i="1"/>
  <c r="S32" i="1" s="1"/>
  <c r="S439" i="1" s="1"/>
  <c r="T30" i="1"/>
  <c r="U30" i="1"/>
  <c r="V30" i="1"/>
  <c r="W30" i="1"/>
  <c r="X30" i="1"/>
  <c r="Y30" i="1"/>
  <c r="Z30" i="1"/>
  <c r="AA30" i="1"/>
  <c r="AB30" i="1"/>
  <c r="AC30" i="1"/>
  <c r="AD30" i="1"/>
  <c r="AD32" i="1" s="1"/>
  <c r="AD431" i="1" s="1"/>
  <c r="AF30" i="1"/>
  <c r="AH30" i="1"/>
  <c r="AJ30" i="1"/>
  <c r="F35" i="1"/>
  <c r="T35" i="1"/>
  <c r="T262" i="1" s="1"/>
  <c r="H35" i="1"/>
  <c r="H244" i="1" s="1"/>
  <c r="I35" i="1"/>
  <c r="J35" i="1"/>
  <c r="J263" i="1" s="1"/>
  <c r="K35" i="1"/>
  <c r="K244" i="1" s="1"/>
  <c r="L35" i="1"/>
  <c r="M35" i="1"/>
  <c r="M244" i="1" s="1"/>
  <c r="O35" i="1"/>
  <c r="O447" i="1" s="1"/>
  <c r="P35" i="1"/>
  <c r="Q35" i="1"/>
  <c r="Q447" i="1" s="1"/>
  <c r="S35" i="1"/>
  <c r="U35" i="1"/>
  <c r="U446" i="1" s="1"/>
  <c r="V35" i="1"/>
  <c r="V244" i="1" s="1"/>
  <c r="W35" i="1"/>
  <c r="X35" i="1"/>
  <c r="X245" i="1" s="1"/>
  <c r="Y35" i="1"/>
  <c r="Y446" i="1" s="1"/>
  <c r="Z35" i="1"/>
  <c r="Z245" i="1" s="1"/>
  <c r="AA35" i="1"/>
  <c r="AB35" i="1"/>
  <c r="AB447" i="1" s="1"/>
  <c r="AC35" i="1"/>
  <c r="AD35" i="1"/>
  <c r="AD470" i="1" s="1"/>
  <c r="AF35" i="1"/>
  <c r="AH35" i="1"/>
  <c r="AJ35" i="1"/>
  <c r="AJ470" i="1" s="1"/>
  <c r="F36" i="1"/>
  <c r="H36" i="1"/>
  <c r="I36" i="1"/>
  <c r="I472" i="1" s="1"/>
  <c r="J36" i="1"/>
  <c r="J246" i="1" s="1"/>
  <c r="K36" i="1"/>
  <c r="K246" i="1" s="1"/>
  <c r="L36" i="1"/>
  <c r="L264" i="1" s="1"/>
  <c r="M36" i="1"/>
  <c r="M448" i="1" s="1"/>
  <c r="O36" i="1"/>
  <c r="P36" i="1"/>
  <c r="Q36" i="1"/>
  <c r="Q246" i="1" s="1"/>
  <c r="S36" i="1"/>
  <c r="T36" i="1"/>
  <c r="T448" i="1" s="1"/>
  <c r="U36" i="1"/>
  <c r="Z36" i="1"/>
  <c r="Z448" i="1" s="1"/>
  <c r="AA36" i="1"/>
  <c r="AA472" i="1" s="1"/>
  <c r="AB36" i="1"/>
  <c r="AB448" i="1" s="1"/>
  <c r="AC36" i="1"/>
  <c r="AC448" i="1" s="1"/>
  <c r="AD36" i="1"/>
  <c r="AF36" i="1"/>
  <c r="AH36" i="1"/>
  <c r="AH637" i="1" s="1"/>
  <c r="AH141" i="1" s="1"/>
  <c r="AJ36" i="1"/>
  <c r="F37" i="1"/>
  <c r="H37" i="1"/>
  <c r="I37" i="1"/>
  <c r="I247" i="1" s="1"/>
  <c r="J37" i="1"/>
  <c r="K37" i="1"/>
  <c r="L37" i="1"/>
  <c r="L265" i="1" s="1"/>
  <c r="M37" i="1"/>
  <c r="M473" i="1" s="1"/>
  <c r="O37" i="1"/>
  <c r="O473" i="1" s="1"/>
  <c r="P37" i="1"/>
  <c r="P247" i="1" s="1"/>
  <c r="Q37" i="1"/>
  <c r="Q247" i="1" s="1"/>
  <c r="S37" i="1"/>
  <c r="S247" i="1" s="1"/>
  <c r="T37" i="1"/>
  <c r="U37" i="1"/>
  <c r="U247" i="1" s="1"/>
  <c r="Z37" i="1"/>
  <c r="AA37" i="1"/>
  <c r="AA247" i="1" s="1"/>
  <c r="AB37" i="1"/>
  <c r="AC37" i="1"/>
  <c r="AC449" i="1" s="1"/>
  <c r="AD37" i="1"/>
  <c r="AF37" i="1"/>
  <c r="AF473" i="1" s="1"/>
  <c r="AH37" i="1"/>
  <c r="AJ37" i="1"/>
  <c r="F38" i="1"/>
  <c r="Z38" i="1" s="1"/>
  <c r="H38" i="1"/>
  <c r="H266" i="1" s="1"/>
  <c r="I38" i="1"/>
  <c r="I266" i="1" s="1"/>
  <c r="J38" i="1"/>
  <c r="J474" i="1" s="1"/>
  <c r="K38" i="1"/>
  <c r="L38" i="1"/>
  <c r="L474" i="1" s="1"/>
  <c r="M38" i="1"/>
  <c r="O38" i="1"/>
  <c r="O474" i="1" s="1"/>
  <c r="P38" i="1"/>
  <c r="Q38" i="1"/>
  <c r="Q474" i="1" s="1"/>
  <c r="S38" i="1"/>
  <c r="T38" i="1"/>
  <c r="U38" i="1"/>
  <c r="U266" i="1" s="1"/>
  <c r="V38" i="1"/>
  <c r="V266" i="1" s="1"/>
  <c r="W38" i="1"/>
  <c r="W266" i="1" s="1"/>
  <c r="X38" i="1"/>
  <c r="Y38" i="1"/>
  <c r="AB38" i="1"/>
  <c r="AB266" i="1" s="1"/>
  <c r="AC38" i="1"/>
  <c r="AD38" i="1"/>
  <c r="AD266" i="1" s="1"/>
  <c r="AF38" i="1"/>
  <c r="AF266" i="1" s="1"/>
  <c r="AH38" i="1"/>
  <c r="AH474" i="1" s="1"/>
  <c r="AJ38" i="1"/>
  <c r="F39" i="1"/>
  <c r="Z39" i="1" s="1"/>
  <c r="H39" i="1"/>
  <c r="I39" i="1"/>
  <c r="J39" i="1"/>
  <c r="K39" i="1"/>
  <c r="L39" i="1"/>
  <c r="M39" i="1"/>
  <c r="O39" i="1"/>
  <c r="P39" i="1"/>
  <c r="Q39" i="1"/>
  <c r="S39" i="1"/>
  <c r="T39" i="1"/>
  <c r="U39" i="1"/>
  <c r="V39" i="1"/>
  <c r="W39" i="1"/>
  <c r="X39" i="1"/>
  <c r="Y39" i="1"/>
  <c r="AB39" i="1"/>
  <c r="AC39" i="1"/>
  <c r="AD39" i="1"/>
  <c r="AF39" i="1"/>
  <c r="AH39" i="1"/>
  <c r="AJ39" i="1"/>
  <c r="F40" i="1"/>
  <c r="H40" i="1"/>
  <c r="I40" i="1"/>
  <c r="J40" i="1"/>
  <c r="K40" i="1"/>
  <c r="L40" i="1"/>
  <c r="M40" i="1"/>
  <c r="O40" i="1"/>
  <c r="P40" i="1"/>
  <c r="Q40" i="1"/>
  <c r="S40" i="1"/>
  <c r="T40" i="1"/>
  <c r="U40" i="1"/>
  <c r="V40" i="1"/>
  <c r="W40" i="1"/>
  <c r="X40" i="1"/>
  <c r="Y40" i="1"/>
  <c r="Z40" i="1"/>
  <c r="AA40" i="1"/>
  <c r="AC40" i="1"/>
  <c r="AD40" i="1"/>
  <c r="AF40" i="1"/>
  <c r="AH40" i="1"/>
  <c r="AJ40" i="1"/>
  <c r="F41" i="1"/>
  <c r="F40" i="6"/>
  <c r="H41" i="1"/>
  <c r="I41" i="1"/>
  <c r="J41" i="1"/>
  <c r="K41" i="1"/>
  <c r="K249" i="1" s="1"/>
  <c r="L41" i="1"/>
  <c r="L476" i="1" s="1"/>
  <c r="M41" i="1"/>
  <c r="M451" i="1" s="1"/>
  <c r="O41" i="1"/>
  <c r="O268" i="1" s="1"/>
  <c r="P41" i="1"/>
  <c r="Q41" i="1"/>
  <c r="S41" i="1"/>
  <c r="T41" i="1"/>
  <c r="T249" i="1" s="1"/>
  <c r="U41" i="1"/>
  <c r="U249" i="1" s="1"/>
  <c r="V41" i="1"/>
  <c r="V249" i="1" s="1"/>
  <c r="W41" i="1"/>
  <c r="W249" i="1" s="1"/>
  <c r="X41" i="1"/>
  <c r="Y41" i="1"/>
  <c r="Y451" i="1" s="1"/>
  <c r="Z41" i="1"/>
  <c r="Z451" i="1" s="1"/>
  <c r="AA41" i="1"/>
  <c r="AA249" i="1" s="1"/>
  <c r="AB41" i="1"/>
  <c r="AD41" i="1"/>
  <c r="AD451" i="1" s="1"/>
  <c r="AF41" i="1"/>
  <c r="AF249" i="1" s="1"/>
  <c r="AH41" i="1"/>
  <c r="AH249" i="1" s="1"/>
  <c r="AJ41" i="1"/>
  <c r="AJ476" i="1" s="1"/>
  <c r="F42" i="1"/>
  <c r="AD42" i="1"/>
  <c r="AD450" i="1" s="1"/>
  <c r="H42" i="1"/>
  <c r="H450" i="1" s="1"/>
  <c r="I42" i="1"/>
  <c r="J42" i="1"/>
  <c r="K42" i="1"/>
  <c r="K453" i="1" s="1"/>
  <c r="L42" i="1"/>
  <c r="L453" i="1" s="1"/>
  <c r="M42" i="1"/>
  <c r="M251" i="1" s="1"/>
  <c r="O42" i="1"/>
  <c r="P42" i="1"/>
  <c r="P450" i="1" s="1"/>
  <c r="Q42" i="1"/>
  <c r="Q251" i="1" s="1"/>
  <c r="S42" i="1"/>
  <c r="S251" i="1" s="1"/>
  <c r="T42" i="1"/>
  <c r="T251" i="1" s="1"/>
  <c r="U42" i="1"/>
  <c r="V42" i="1"/>
  <c r="W42" i="1"/>
  <c r="X42" i="1"/>
  <c r="X453" i="1" s="1"/>
  <c r="Y42" i="1"/>
  <c r="Z42" i="1"/>
  <c r="AA42" i="1"/>
  <c r="AB42" i="1"/>
  <c r="AC42" i="1"/>
  <c r="AC251" i="1" s="1"/>
  <c r="AF42" i="1"/>
  <c r="AH42" i="1"/>
  <c r="AH251" i="1" s="1"/>
  <c r="AJ42" i="1"/>
  <c r="AJ450" i="1" s="1"/>
  <c r="F43" i="1"/>
  <c r="H43" i="1"/>
  <c r="H248" i="1" s="1"/>
  <c r="I43" i="1"/>
  <c r="J43" i="1"/>
  <c r="K43" i="1"/>
  <c r="K248" i="1" s="1"/>
  <c r="L43" i="1"/>
  <c r="M43" i="1"/>
  <c r="O43" i="1"/>
  <c r="P43" i="1"/>
  <c r="P248" i="1" s="1"/>
  <c r="Q43" i="1"/>
  <c r="Q267" i="1" s="1"/>
  <c r="S43" i="1"/>
  <c r="T43" i="1"/>
  <c r="U43" i="1"/>
  <c r="U267" i="1" s="1"/>
  <c r="V43" i="1"/>
  <c r="W43" i="1"/>
  <c r="X43" i="1"/>
  <c r="X248" i="1" s="1"/>
  <c r="Y43" i="1"/>
  <c r="Y267" i="1" s="1"/>
  <c r="Z43" i="1"/>
  <c r="AA43" i="1"/>
  <c r="AB43" i="1"/>
  <c r="AB267" i="1" s="1"/>
  <c r="AC43" i="1"/>
  <c r="AC475" i="1" s="1"/>
  <c r="AF43" i="1"/>
  <c r="AH43" i="1"/>
  <c r="AJ43" i="1"/>
  <c r="F57" i="1"/>
  <c r="F61" i="1"/>
  <c r="F63" i="1"/>
  <c r="F70" i="1"/>
  <c r="K70" i="1"/>
  <c r="L70" i="1"/>
  <c r="M70" i="1"/>
  <c r="O70" i="1"/>
  <c r="P70" i="1"/>
  <c r="Q70" i="1"/>
  <c r="S70" i="1"/>
  <c r="T70" i="1"/>
  <c r="U70" i="1"/>
  <c r="V70" i="1"/>
  <c r="W70" i="1"/>
  <c r="X70" i="1"/>
  <c r="Y70" i="1"/>
  <c r="Z70" i="1"/>
  <c r="AA70" i="1"/>
  <c r="AB70" i="1"/>
  <c r="AC70" i="1"/>
  <c r="AD70" i="1"/>
  <c r="AF70" i="1"/>
  <c r="AH70" i="1"/>
  <c r="AJ70" i="1"/>
  <c r="F71" i="1"/>
  <c r="P71" i="1"/>
  <c r="H71" i="1"/>
  <c r="I71" i="1"/>
  <c r="J71" i="1"/>
  <c r="K71" i="1"/>
  <c r="L71" i="1"/>
  <c r="M71" i="1"/>
  <c r="S71" i="1"/>
  <c r="T71" i="1"/>
  <c r="U71" i="1"/>
  <c r="V71" i="1"/>
  <c r="W71" i="1"/>
  <c r="X71" i="1"/>
  <c r="Y71" i="1"/>
  <c r="Z71" i="1"/>
  <c r="AA71" i="1"/>
  <c r="AB71" i="1"/>
  <c r="AC71" i="1"/>
  <c r="AD71" i="1"/>
  <c r="AF71" i="1"/>
  <c r="AH71" i="1"/>
  <c r="AJ71" i="1"/>
  <c r="F72" i="1"/>
  <c r="F73" i="1"/>
  <c r="H74" i="1"/>
  <c r="I74" i="1"/>
  <c r="J74" i="1"/>
  <c r="K74" i="1"/>
  <c r="L74" i="1"/>
  <c r="M74" i="1"/>
  <c r="O74" i="1"/>
  <c r="P74" i="1"/>
  <c r="Q74" i="1"/>
  <c r="S74" i="1"/>
  <c r="T74" i="1"/>
  <c r="U74" i="1"/>
  <c r="Z74" i="1"/>
  <c r="AA74" i="1"/>
  <c r="AB74" i="1"/>
  <c r="AC74" i="1"/>
  <c r="AD74" i="1"/>
  <c r="AF74" i="1"/>
  <c r="AH74" i="1"/>
  <c r="AJ74" i="1"/>
  <c r="F98" i="1"/>
  <c r="J98" i="1" s="1"/>
  <c r="K98" i="1"/>
  <c r="L98" i="1"/>
  <c r="M98" i="1"/>
  <c r="O98" i="1"/>
  <c r="P98" i="1"/>
  <c r="Q98" i="1"/>
  <c r="S98" i="1"/>
  <c r="T98" i="1"/>
  <c r="U98" i="1"/>
  <c r="V98" i="1"/>
  <c r="W98" i="1"/>
  <c r="X98" i="1"/>
  <c r="Y98" i="1"/>
  <c r="Z98" i="1"/>
  <c r="AA98" i="1"/>
  <c r="AB98" i="1"/>
  <c r="AC98" i="1"/>
  <c r="AD98" i="1"/>
  <c r="AF98" i="1"/>
  <c r="AH98" i="1"/>
  <c r="AJ98" i="1"/>
  <c r="F99" i="1"/>
  <c r="K99" i="1"/>
  <c r="L99" i="1"/>
  <c r="M99" i="1"/>
  <c r="O99" i="1"/>
  <c r="P99" i="1"/>
  <c r="Q99" i="1"/>
  <c r="S99" i="1"/>
  <c r="T99" i="1"/>
  <c r="U99" i="1"/>
  <c r="V99" i="1"/>
  <c r="W99" i="1"/>
  <c r="X99" i="1"/>
  <c r="Y99" i="1"/>
  <c r="Z99" i="1"/>
  <c r="AA99" i="1"/>
  <c r="AB99" i="1"/>
  <c r="AC99" i="1"/>
  <c r="AD99" i="1"/>
  <c r="AF99" i="1"/>
  <c r="AH99" i="1"/>
  <c r="AJ99" i="1"/>
  <c r="F100" i="1"/>
  <c r="I100" i="1"/>
  <c r="K100" i="1"/>
  <c r="L100" i="1"/>
  <c r="M100" i="1"/>
  <c r="O100" i="1"/>
  <c r="P100" i="1"/>
  <c r="Q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F100" i="1"/>
  <c r="AH100" i="1"/>
  <c r="AJ100" i="1"/>
  <c r="F101" i="1"/>
  <c r="F102" i="1"/>
  <c r="F103" i="1"/>
  <c r="F104" i="1"/>
  <c r="F105" i="1"/>
  <c r="F112" i="1"/>
  <c r="F113" i="1"/>
  <c r="F114" i="1"/>
  <c r="F118" i="1"/>
  <c r="H118" i="1"/>
  <c r="K118" i="1"/>
  <c r="L118" i="1"/>
  <c r="M118" i="1"/>
  <c r="O118" i="1"/>
  <c r="P118" i="1"/>
  <c r="Q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F118" i="1"/>
  <c r="AH118" i="1"/>
  <c r="AJ118" i="1"/>
  <c r="F123" i="1"/>
  <c r="K123" i="1"/>
  <c r="L123" i="1"/>
  <c r="M123" i="1"/>
  <c r="O123" i="1"/>
  <c r="P123" i="1"/>
  <c r="Q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F123" i="1"/>
  <c r="AH123" i="1"/>
  <c r="AJ123" i="1"/>
  <c r="F124" i="1"/>
  <c r="P124" i="1" s="1"/>
  <c r="H124" i="1"/>
  <c r="I124" i="1"/>
  <c r="J124" i="1"/>
  <c r="K124" i="1"/>
  <c r="L124" i="1"/>
  <c r="M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F124" i="1"/>
  <c r="AH124" i="1"/>
  <c r="AJ124" i="1"/>
  <c r="F125" i="1"/>
  <c r="F126" i="1"/>
  <c r="F131" i="1"/>
  <c r="K131" i="1"/>
  <c r="L131" i="1"/>
  <c r="M131" i="1"/>
  <c r="O131" i="1"/>
  <c r="P131" i="1"/>
  <c r="Q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F131" i="1"/>
  <c r="AH131" i="1"/>
  <c r="AJ131" i="1"/>
  <c r="F132" i="1"/>
  <c r="H132" i="1"/>
  <c r="I132" i="1"/>
  <c r="J132" i="1"/>
  <c r="K132" i="1"/>
  <c r="L132" i="1"/>
  <c r="M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F132" i="1"/>
  <c r="AH132" i="1"/>
  <c r="AJ132" i="1"/>
  <c r="F133" i="1"/>
  <c r="H133" i="1"/>
  <c r="I133" i="1"/>
  <c r="J133" i="1"/>
  <c r="K133" i="1"/>
  <c r="L133" i="1"/>
  <c r="M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F133" i="1"/>
  <c r="AH133" i="1"/>
  <c r="AJ133" i="1"/>
  <c r="F134" i="1"/>
  <c r="F135" i="1"/>
  <c r="F136" i="1"/>
  <c r="F141" i="1"/>
  <c r="H142" i="1"/>
  <c r="K142" i="1"/>
  <c r="L142" i="1"/>
  <c r="M142" i="1"/>
  <c r="O142" i="1"/>
  <c r="P142" i="1"/>
  <c r="Q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F142" i="1"/>
  <c r="AH142" i="1"/>
  <c r="AJ142" i="1"/>
  <c r="G144" i="1"/>
  <c r="N144" i="1"/>
  <c r="R144" i="1"/>
  <c r="AE144" i="1"/>
  <c r="AG144" i="1"/>
  <c r="AI144" i="1"/>
  <c r="F149" i="1"/>
  <c r="F150" i="1"/>
  <c r="K150" i="1" s="1"/>
  <c r="H150" i="1"/>
  <c r="I150" i="1"/>
  <c r="J150" i="1"/>
  <c r="L150" i="1"/>
  <c r="M150" i="1"/>
  <c r="O150" i="1"/>
  <c r="P150" i="1"/>
  <c r="Q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F150" i="1"/>
  <c r="AH150" i="1"/>
  <c r="AJ150" i="1"/>
  <c r="F151" i="1"/>
  <c r="F152" i="1"/>
  <c r="F153" i="1"/>
  <c r="K153" i="1"/>
  <c r="L153" i="1"/>
  <c r="M153" i="1"/>
  <c r="O153" i="1"/>
  <c r="P153" i="1"/>
  <c r="Q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F153" i="1"/>
  <c r="AH153" i="1"/>
  <c r="AJ153" i="1"/>
  <c r="F154" i="1"/>
  <c r="H154" i="1" s="1"/>
  <c r="K154" i="1"/>
  <c r="L154" i="1"/>
  <c r="M154" i="1"/>
  <c r="O154" i="1"/>
  <c r="P154" i="1"/>
  <c r="Q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F154" i="1"/>
  <c r="AH154" i="1"/>
  <c r="AJ154" i="1"/>
  <c r="F159" i="1"/>
  <c r="F160" i="1"/>
  <c r="H160" i="1" s="1"/>
  <c r="K160" i="1"/>
  <c r="L160" i="1"/>
  <c r="M160" i="1"/>
  <c r="O160" i="1"/>
  <c r="P160" i="1"/>
  <c r="Q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F160" i="1"/>
  <c r="AH160" i="1"/>
  <c r="AJ160" i="1"/>
  <c r="F161" i="1"/>
  <c r="K161" i="1" s="1"/>
  <c r="H161" i="1"/>
  <c r="I161" i="1"/>
  <c r="J161" i="1"/>
  <c r="L161" i="1"/>
  <c r="M161" i="1"/>
  <c r="O161" i="1"/>
  <c r="P161" i="1"/>
  <c r="Q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F161" i="1"/>
  <c r="AH161" i="1"/>
  <c r="AJ161" i="1"/>
  <c r="F162" i="1"/>
  <c r="K162" i="1" s="1"/>
  <c r="H162" i="1"/>
  <c r="I162" i="1"/>
  <c r="J162" i="1"/>
  <c r="L162" i="1"/>
  <c r="M162" i="1"/>
  <c r="O162" i="1"/>
  <c r="P162" i="1"/>
  <c r="Q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F162" i="1"/>
  <c r="AH162" i="1"/>
  <c r="AJ162" i="1"/>
  <c r="F163" i="1"/>
  <c r="K163" i="1"/>
  <c r="H163" i="1"/>
  <c r="I163" i="1"/>
  <c r="J163" i="1"/>
  <c r="L163" i="1"/>
  <c r="M163" i="1"/>
  <c r="O163" i="1"/>
  <c r="P163" i="1"/>
  <c r="Q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F163" i="1"/>
  <c r="AH163" i="1"/>
  <c r="AJ163" i="1"/>
  <c r="F170" i="1"/>
  <c r="F171" i="1"/>
  <c r="K171" i="1"/>
  <c r="L171" i="1"/>
  <c r="M171" i="1"/>
  <c r="O171" i="1"/>
  <c r="P171" i="1"/>
  <c r="Q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F171" i="1"/>
  <c r="AH171" i="1"/>
  <c r="AJ171" i="1"/>
  <c r="F172" i="1"/>
  <c r="K172" i="1"/>
  <c r="L172" i="1"/>
  <c r="M172" i="1"/>
  <c r="O172" i="1"/>
  <c r="P172" i="1"/>
  <c r="Q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F172" i="1"/>
  <c r="AH172" i="1"/>
  <c r="AJ172" i="1"/>
  <c r="F173" i="1"/>
  <c r="F174" i="1"/>
  <c r="I174" i="1" s="1"/>
  <c r="K174" i="1"/>
  <c r="L174" i="1"/>
  <c r="M174" i="1"/>
  <c r="O174" i="1"/>
  <c r="P174" i="1"/>
  <c r="Q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F174" i="1"/>
  <c r="AH174" i="1"/>
  <c r="AJ174" i="1"/>
  <c r="F175" i="1"/>
  <c r="H175" i="1" s="1"/>
  <c r="K175" i="1"/>
  <c r="L175" i="1"/>
  <c r="M175" i="1"/>
  <c r="O175" i="1"/>
  <c r="P175" i="1"/>
  <c r="Q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F175" i="1"/>
  <c r="AH175" i="1"/>
  <c r="AJ175" i="1"/>
  <c r="F180" i="1"/>
  <c r="F181" i="1"/>
  <c r="I181" i="1" s="1"/>
  <c r="K181" i="1"/>
  <c r="L181" i="1"/>
  <c r="M181" i="1"/>
  <c r="O181" i="1"/>
  <c r="P181" i="1"/>
  <c r="Q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F181" i="1"/>
  <c r="AH181" i="1"/>
  <c r="AJ181" i="1"/>
  <c r="F182" i="1"/>
  <c r="I182" i="1"/>
  <c r="K182" i="1"/>
  <c r="L182" i="1"/>
  <c r="M182" i="1"/>
  <c r="O182" i="1"/>
  <c r="P182" i="1"/>
  <c r="Q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F182" i="1"/>
  <c r="AH182" i="1"/>
  <c r="AJ182" i="1"/>
  <c r="F183" i="1"/>
  <c r="K183" i="1"/>
  <c r="H183" i="1"/>
  <c r="I183" i="1"/>
  <c r="J183" i="1"/>
  <c r="L183" i="1"/>
  <c r="M183" i="1"/>
  <c r="O183" i="1"/>
  <c r="P183" i="1"/>
  <c r="Q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F183" i="1"/>
  <c r="AH183" i="1"/>
  <c r="AJ183" i="1"/>
  <c r="F184" i="1"/>
  <c r="K184" i="1"/>
  <c r="H184" i="1"/>
  <c r="I184" i="1"/>
  <c r="J184" i="1"/>
  <c r="L184" i="1"/>
  <c r="M184" i="1"/>
  <c r="O184" i="1"/>
  <c r="P184" i="1"/>
  <c r="Q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F184" i="1"/>
  <c r="AH184" i="1"/>
  <c r="AJ184" i="1"/>
  <c r="F191" i="1"/>
  <c r="F192" i="1"/>
  <c r="K192" i="1" s="1"/>
  <c r="H192" i="1"/>
  <c r="I192" i="1"/>
  <c r="J192" i="1"/>
  <c r="L192" i="1"/>
  <c r="M192" i="1"/>
  <c r="O192" i="1"/>
  <c r="P192" i="1"/>
  <c r="Q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F192" i="1"/>
  <c r="AH192" i="1"/>
  <c r="AJ192" i="1"/>
  <c r="F193" i="1"/>
  <c r="I193" i="1"/>
  <c r="K193" i="1"/>
  <c r="L193" i="1"/>
  <c r="M193" i="1"/>
  <c r="O193" i="1"/>
  <c r="P193" i="1"/>
  <c r="Q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F193" i="1"/>
  <c r="AH193" i="1"/>
  <c r="AJ193" i="1"/>
  <c r="F194" i="1"/>
  <c r="J194" i="1" s="1"/>
  <c r="K194" i="1"/>
  <c r="L194" i="1"/>
  <c r="M194" i="1"/>
  <c r="O194" i="1"/>
  <c r="P194" i="1"/>
  <c r="Q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F194" i="1"/>
  <c r="AH194" i="1"/>
  <c r="AJ194" i="1"/>
  <c r="H195" i="1"/>
  <c r="I195" i="1"/>
  <c r="J195" i="1"/>
  <c r="K195" i="1"/>
  <c r="L195" i="1"/>
  <c r="M195" i="1"/>
  <c r="O195" i="1"/>
  <c r="P195" i="1"/>
  <c r="Q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F195" i="1"/>
  <c r="AH195" i="1"/>
  <c r="AJ195" i="1"/>
  <c r="F201" i="1"/>
  <c r="H201" i="1" s="1"/>
  <c r="K201" i="1"/>
  <c r="L201" i="1"/>
  <c r="M201" i="1"/>
  <c r="O201" i="1"/>
  <c r="P201" i="1"/>
  <c r="Q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F201" i="1"/>
  <c r="AH201" i="1"/>
  <c r="AJ201" i="1"/>
  <c r="F202" i="1"/>
  <c r="I202" i="1"/>
  <c r="K202" i="1"/>
  <c r="L202" i="1"/>
  <c r="M202" i="1"/>
  <c r="O202" i="1"/>
  <c r="P202" i="1"/>
  <c r="Q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F202" i="1"/>
  <c r="AH202" i="1"/>
  <c r="AJ202" i="1"/>
  <c r="F203" i="1"/>
  <c r="K203" i="1"/>
  <c r="L203" i="1"/>
  <c r="M203" i="1"/>
  <c r="O203" i="1"/>
  <c r="P203" i="1"/>
  <c r="Q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F203" i="1"/>
  <c r="AH203" i="1"/>
  <c r="AJ203" i="1"/>
  <c r="F204" i="1"/>
  <c r="H204" i="1"/>
  <c r="K204" i="1"/>
  <c r="L204" i="1"/>
  <c r="M204" i="1"/>
  <c r="O204" i="1"/>
  <c r="P204" i="1"/>
  <c r="Q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F204" i="1"/>
  <c r="AH204" i="1"/>
  <c r="AJ204" i="1"/>
  <c r="F213" i="1"/>
  <c r="F217" i="1"/>
  <c r="I217" i="1"/>
  <c r="K217" i="1"/>
  <c r="L217" i="1"/>
  <c r="M217" i="1"/>
  <c r="O217" i="1"/>
  <c r="P217" i="1"/>
  <c r="Q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F217" i="1"/>
  <c r="AH217" i="1"/>
  <c r="AJ217" i="1"/>
  <c r="F218" i="1"/>
  <c r="H218" i="1" s="1"/>
  <c r="K218" i="1"/>
  <c r="L218" i="1"/>
  <c r="M218" i="1"/>
  <c r="O218" i="1"/>
  <c r="P218" i="1"/>
  <c r="Q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F218" i="1"/>
  <c r="AH218" i="1"/>
  <c r="AJ218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G240" i="1"/>
  <c r="F243" i="1"/>
  <c r="F244" i="1"/>
  <c r="F245" i="1"/>
  <c r="K245" i="1"/>
  <c r="F246" i="1"/>
  <c r="F247" i="1"/>
  <c r="F248" i="1"/>
  <c r="F249" i="1"/>
  <c r="H250" i="1"/>
  <c r="I250" i="1"/>
  <c r="J250" i="1"/>
  <c r="K250" i="1"/>
  <c r="L250" i="1"/>
  <c r="M250" i="1"/>
  <c r="O250" i="1"/>
  <c r="P250" i="1"/>
  <c r="Q250" i="1"/>
  <c r="S250" i="1"/>
  <c r="T250" i="1"/>
  <c r="U250" i="1"/>
  <c r="V250" i="1"/>
  <c r="W250" i="1"/>
  <c r="X250" i="1"/>
  <c r="Y250" i="1"/>
  <c r="Z250" i="1"/>
  <c r="AA250" i="1"/>
  <c r="AB250" i="1"/>
  <c r="AC250" i="1"/>
  <c r="AD250" i="1"/>
  <c r="AF250" i="1"/>
  <c r="AH250" i="1"/>
  <c r="AJ250" i="1"/>
  <c r="F251" i="1"/>
  <c r="AA251" i="1"/>
  <c r="F252" i="1"/>
  <c r="F254" i="1"/>
  <c r="G256" i="1"/>
  <c r="F261" i="1"/>
  <c r="F262" i="1"/>
  <c r="F263" i="1"/>
  <c r="K263" i="1"/>
  <c r="P263" i="1"/>
  <c r="F264" i="1"/>
  <c r="AJ264" i="1"/>
  <c r="F265" i="1"/>
  <c r="F266" i="1"/>
  <c r="O266" i="1"/>
  <c r="T266" i="1"/>
  <c r="F267" i="1"/>
  <c r="F268" i="1"/>
  <c r="AJ268" i="1"/>
  <c r="F269" i="1"/>
  <c r="G271" i="1"/>
  <c r="G273" i="1" s="1"/>
  <c r="F280" i="1"/>
  <c r="H280" i="1"/>
  <c r="I280" i="1"/>
  <c r="J280" i="1"/>
  <c r="K280" i="1"/>
  <c r="L280" i="1"/>
  <c r="M280" i="1"/>
  <c r="O280" i="1"/>
  <c r="P280" i="1"/>
  <c r="Q280" i="1"/>
  <c r="S280" i="1"/>
  <c r="T280" i="1"/>
  <c r="U280" i="1"/>
  <c r="V280" i="1"/>
  <c r="W280" i="1"/>
  <c r="X280" i="1"/>
  <c r="Y280" i="1"/>
  <c r="Z280" i="1"/>
  <c r="AA280" i="1"/>
  <c r="AB280" i="1"/>
  <c r="AC280" i="1"/>
  <c r="AD280" i="1"/>
  <c r="AH280" i="1"/>
  <c r="AJ280" i="1"/>
  <c r="F281" i="1"/>
  <c r="H3" i="11" s="1"/>
  <c r="H281" i="1"/>
  <c r="I281" i="1"/>
  <c r="J281" i="1"/>
  <c r="K281" i="1"/>
  <c r="L281" i="1"/>
  <c r="M281" i="1"/>
  <c r="O281" i="1"/>
  <c r="P281" i="1"/>
  <c r="Q281" i="1"/>
  <c r="S281" i="1"/>
  <c r="T281" i="1"/>
  <c r="U281" i="1"/>
  <c r="V281" i="1"/>
  <c r="W281" i="1"/>
  <c r="X281" i="1"/>
  <c r="Y281" i="1"/>
  <c r="Z281" i="1"/>
  <c r="AA281" i="1"/>
  <c r="AB281" i="1"/>
  <c r="AC281" i="1"/>
  <c r="AD281" i="1"/>
  <c r="AH281" i="1"/>
  <c r="AJ281" i="1"/>
  <c r="F282" i="1"/>
  <c r="AF282" i="1"/>
  <c r="H282" i="1"/>
  <c r="I282" i="1"/>
  <c r="J282" i="1"/>
  <c r="K282" i="1"/>
  <c r="L282" i="1"/>
  <c r="M282" i="1"/>
  <c r="O282" i="1"/>
  <c r="P282" i="1"/>
  <c r="Q282" i="1"/>
  <c r="S282" i="1"/>
  <c r="T282" i="1"/>
  <c r="U282" i="1"/>
  <c r="V282" i="1"/>
  <c r="W282" i="1"/>
  <c r="X282" i="1"/>
  <c r="Y282" i="1"/>
  <c r="Z282" i="1"/>
  <c r="AA282" i="1"/>
  <c r="AB282" i="1"/>
  <c r="AC282" i="1"/>
  <c r="AD282" i="1"/>
  <c r="AH282" i="1"/>
  <c r="AJ282" i="1"/>
  <c r="F283" i="1"/>
  <c r="AF283" i="1"/>
  <c r="H283" i="1"/>
  <c r="I283" i="1"/>
  <c r="J283" i="1"/>
  <c r="K283" i="1"/>
  <c r="L283" i="1"/>
  <c r="M283" i="1"/>
  <c r="O283" i="1"/>
  <c r="P283" i="1"/>
  <c r="Q283" i="1"/>
  <c r="S283" i="1"/>
  <c r="T283" i="1"/>
  <c r="U283" i="1"/>
  <c r="V283" i="1"/>
  <c r="W283" i="1"/>
  <c r="X283" i="1"/>
  <c r="Y283" i="1"/>
  <c r="Z283" i="1"/>
  <c r="AA283" i="1"/>
  <c r="AB283" i="1"/>
  <c r="AC283" i="1"/>
  <c r="AD283" i="1"/>
  <c r="AH283" i="1"/>
  <c r="AJ283" i="1"/>
  <c r="F284" i="1"/>
  <c r="AF284" i="1"/>
  <c r="H284" i="1"/>
  <c r="I284" i="1"/>
  <c r="J284" i="1"/>
  <c r="K284" i="1"/>
  <c r="L284" i="1"/>
  <c r="M284" i="1"/>
  <c r="O284" i="1"/>
  <c r="P284" i="1"/>
  <c r="Q284" i="1"/>
  <c r="S284" i="1"/>
  <c r="T284" i="1"/>
  <c r="U284" i="1"/>
  <c r="V284" i="1"/>
  <c r="W284" i="1"/>
  <c r="X284" i="1"/>
  <c r="Y284" i="1"/>
  <c r="Z284" i="1"/>
  <c r="AA284" i="1"/>
  <c r="AB284" i="1"/>
  <c r="AC284" i="1"/>
  <c r="AD284" i="1"/>
  <c r="AH284" i="1"/>
  <c r="AJ284" i="1"/>
  <c r="G286" i="1"/>
  <c r="F289" i="1"/>
  <c r="AH289" i="1"/>
  <c r="H289" i="1"/>
  <c r="I289" i="1"/>
  <c r="J289" i="1"/>
  <c r="K289" i="1"/>
  <c r="L289" i="1"/>
  <c r="M289" i="1"/>
  <c r="O289" i="1"/>
  <c r="P289" i="1"/>
  <c r="Q289" i="1"/>
  <c r="S289" i="1"/>
  <c r="T289" i="1"/>
  <c r="U289" i="1"/>
  <c r="V289" i="1"/>
  <c r="W289" i="1"/>
  <c r="X289" i="1"/>
  <c r="Y289" i="1"/>
  <c r="Z289" i="1"/>
  <c r="AA289" i="1"/>
  <c r="AB289" i="1"/>
  <c r="AC289" i="1"/>
  <c r="AD289" i="1"/>
  <c r="AF289" i="1"/>
  <c r="AJ289" i="1"/>
  <c r="F290" i="1"/>
  <c r="AH290" i="1"/>
  <c r="H290" i="1"/>
  <c r="I290" i="1"/>
  <c r="J290" i="1"/>
  <c r="K290" i="1"/>
  <c r="L290" i="1"/>
  <c r="M290" i="1"/>
  <c r="O290" i="1"/>
  <c r="P290" i="1"/>
  <c r="Q290" i="1"/>
  <c r="S290" i="1"/>
  <c r="T290" i="1"/>
  <c r="U290" i="1"/>
  <c r="V290" i="1"/>
  <c r="W290" i="1"/>
  <c r="X290" i="1"/>
  <c r="Y290" i="1"/>
  <c r="Z290" i="1"/>
  <c r="AA290" i="1"/>
  <c r="AB290" i="1"/>
  <c r="AC290" i="1"/>
  <c r="AD290" i="1"/>
  <c r="AF290" i="1"/>
  <c r="AJ290" i="1"/>
  <c r="H291" i="1"/>
  <c r="I291" i="1"/>
  <c r="J291" i="1"/>
  <c r="K291" i="1"/>
  <c r="L291" i="1"/>
  <c r="M291" i="1"/>
  <c r="O291" i="1"/>
  <c r="P291" i="1"/>
  <c r="Q291" i="1"/>
  <c r="S291" i="1"/>
  <c r="T291" i="1"/>
  <c r="U291" i="1"/>
  <c r="V291" i="1"/>
  <c r="W291" i="1"/>
  <c r="X291" i="1"/>
  <c r="Y291" i="1"/>
  <c r="Z291" i="1"/>
  <c r="AA291" i="1"/>
  <c r="AB291" i="1"/>
  <c r="AC291" i="1"/>
  <c r="AD291" i="1"/>
  <c r="AF291" i="1"/>
  <c r="AH291" i="1"/>
  <c r="AJ291" i="1"/>
  <c r="F292" i="1"/>
  <c r="AH292" i="1" s="1"/>
  <c r="H292" i="1"/>
  <c r="I292" i="1"/>
  <c r="J292" i="1"/>
  <c r="K292" i="1"/>
  <c r="L292" i="1"/>
  <c r="M292" i="1"/>
  <c r="O292" i="1"/>
  <c r="P292" i="1"/>
  <c r="Q292" i="1"/>
  <c r="S292" i="1"/>
  <c r="T292" i="1"/>
  <c r="U292" i="1"/>
  <c r="V292" i="1"/>
  <c r="W292" i="1"/>
  <c r="X292" i="1"/>
  <c r="Y292" i="1"/>
  <c r="Z292" i="1"/>
  <c r="AA292" i="1"/>
  <c r="AB292" i="1"/>
  <c r="AC292" i="1"/>
  <c r="AD292" i="1"/>
  <c r="AF292" i="1"/>
  <c r="AJ292" i="1"/>
  <c r="H293" i="1"/>
  <c r="I293" i="1"/>
  <c r="J293" i="1"/>
  <c r="K293" i="1"/>
  <c r="L293" i="1"/>
  <c r="M293" i="1"/>
  <c r="O293" i="1"/>
  <c r="P293" i="1"/>
  <c r="Q293" i="1"/>
  <c r="S293" i="1"/>
  <c r="T293" i="1"/>
  <c r="U293" i="1"/>
  <c r="V293" i="1"/>
  <c r="W293" i="1"/>
  <c r="X293" i="1"/>
  <c r="Y293" i="1"/>
  <c r="Z293" i="1"/>
  <c r="AA293" i="1"/>
  <c r="AB293" i="1"/>
  <c r="AC293" i="1"/>
  <c r="AD293" i="1"/>
  <c r="AF293" i="1"/>
  <c r="AH293" i="1"/>
  <c r="AJ293" i="1"/>
  <c r="F294" i="1"/>
  <c r="AH294" i="1"/>
  <c r="H294" i="1"/>
  <c r="I294" i="1"/>
  <c r="J294" i="1"/>
  <c r="K294" i="1"/>
  <c r="L294" i="1"/>
  <c r="M294" i="1"/>
  <c r="O294" i="1"/>
  <c r="P294" i="1"/>
  <c r="Q294" i="1"/>
  <c r="S294" i="1"/>
  <c r="T294" i="1"/>
  <c r="U294" i="1"/>
  <c r="V294" i="1"/>
  <c r="W294" i="1"/>
  <c r="X294" i="1"/>
  <c r="Y294" i="1"/>
  <c r="Z294" i="1"/>
  <c r="AA294" i="1"/>
  <c r="AB294" i="1"/>
  <c r="AC294" i="1"/>
  <c r="AD294" i="1"/>
  <c r="AF294" i="1"/>
  <c r="AJ294" i="1"/>
  <c r="F295" i="1"/>
  <c r="AH295" i="1"/>
  <c r="H295" i="1"/>
  <c r="I295" i="1"/>
  <c r="J295" i="1"/>
  <c r="K295" i="1"/>
  <c r="L295" i="1"/>
  <c r="M295" i="1"/>
  <c r="O295" i="1"/>
  <c r="P295" i="1"/>
  <c r="Q295" i="1"/>
  <c r="S295" i="1"/>
  <c r="T295" i="1"/>
  <c r="U295" i="1"/>
  <c r="V295" i="1"/>
  <c r="W295" i="1"/>
  <c r="X295" i="1"/>
  <c r="Y295" i="1"/>
  <c r="Z295" i="1"/>
  <c r="AA295" i="1"/>
  <c r="AB295" i="1"/>
  <c r="AC295" i="1"/>
  <c r="AD295" i="1"/>
  <c r="AF295" i="1"/>
  <c r="AJ295" i="1"/>
  <c r="F296" i="1"/>
  <c r="AH296" i="1" s="1"/>
  <c r="H296" i="1"/>
  <c r="I296" i="1"/>
  <c r="J296" i="1"/>
  <c r="K296" i="1"/>
  <c r="L296" i="1"/>
  <c r="M296" i="1"/>
  <c r="O296" i="1"/>
  <c r="P296" i="1"/>
  <c r="Q296" i="1"/>
  <c r="S296" i="1"/>
  <c r="T296" i="1"/>
  <c r="U296" i="1"/>
  <c r="V296" i="1"/>
  <c r="W296" i="1"/>
  <c r="X296" i="1"/>
  <c r="Y296" i="1"/>
  <c r="Z296" i="1"/>
  <c r="AA296" i="1"/>
  <c r="AB296" i="1"/>
  <c r="AC296" i="1"/>
  <c r="AD296" i="1"/>
  <c r="AF296" i="1"/>
  <c r="AJ296" i="1"/>
  <c r="F297" i="1"/>
  <c r="AH297" i="1" s="1"/>
  <c r="H297" i="1"/>
  <c r="I297" i="1"/>
  <c r="J297" i="1"/>
  <c r="K297" i="1"/>
  <c r="L297" i="1"/>
  <c r="M297" i="1"/>
  <c r="O297" i="1"/>
  <c r="P297" i="1"/>
  <c r="Q297" i="1"/>
  <c r="S297" i="1"/>
  <c r="T297" i="1"/>
  <c r="U297" i="1"/>
  <c r="V297" i="1"/>
  <c r="W297" i="1"/>
  <c r="X297" i="1"/>
  <c r="Y297" i="1"/>
  <c r="Z297" i="1"/>
  <c r="AA297" i="1"/>
  <c r="AB297" i="1"/>
  <c r="AC297" i="1"/>
  <c r="AD297" i="1"/>
  <c r="AF297" i="1"/>
  <c r="AJ297" i="1"/>
  <c r="H298" i="1"/>
  <c r="I298" i="1"/>
  <c r="J298" i="1"/>
  <c r="K298" i="1"/>
  <c r="L298" i="1"/>
  <c r="M298" i="1"/>
  <c r="O298" i="1"/>
  <c r="P298" i="1"/>
  <c r="Q298" i="1"/>
  <c r="S298" i="1"/>
  <c r="T298" i="1"/>
  <c r="U298" i="1"/>
  <c r="V298" i="1"/>
  <c r="W298" i="1"/>
  <c r="X298" i="1"/>
  <c r="Y298" i="1"/>
  <c r="Z298" i="1"/>
  <c r="AA298" i="1"/>
  <c r="AB298" i="1"/>
  <c r="AC298" i="1"/>
  <c r="AD298" i="1"/>
  <c r="AF298" i="1"/>
  <c r="AH298" i="1"/>
  <c r="AJ298" i="1"/>
  <c r="F299" i="1"/>
  <c r="AH299" i="1"/>
  <c r="H299" i="1"/>
  <c r="I299" i="1"/>
  <c r="J299" i="1"/>
  <c r="K299" i="1"/>
  <c r="L299" i="1"/>
  <c r="M299" i="1"/>
  <c r="O299" i="1"/>
  <c r="P299" i="1"/>
  <c r="Q299" i="1"/>
  <c r="S299" i="1"/>
  <c r="T299" i="1"/>
  <c r="U299" i="1"/>
  <c r="V299" i="1"/>
  <c r="W299" i="1"/>
  <c r="X299" i="1"/>
  <c r="Y299" i="1"/>
  <c r="Z299" i="1"/>
  <c r="AA299" i="1"/>
  <c r="AB299" i="1"/>
  <c r="AC299" i="1"/>
  <c r="AD299" i="1"/>
  <c r="AF299" i="1"/>
  <c r="AJ299" i="1"/>
  <c r="G301" i="1"/>
  <c r="F312" i="1"/>
  <c r="F313" i="1"/>
  <c r="F314" i="1"/>
  <c r="F315" i="1"/>
  <c r="F316" i="1"/>
  <c r="F317" i="1"/>
  <c r="F318" i="1"/>
  <c r="F319" i="1"/>
  <c r="F320" i="1"/>
  <c r="F321" i="1"/>
  <c r="F322" i="1"/>
  <c r="F324" i="1"/>
  <c r="G326" i="1"/>
  <c r="G330" i="1"/>
  <c r="F359" i="1"/>
  <c r="F360" i="1"/>
  <c r="K360" i="1"/>
  <c r="H360" i="1"/>
  <c r="I360" i="1"/>
  <c r="J360" i="1"/>
  <c r="L360" i="1"/>
  <c r="M360" i="1"/>
  <c r="O360" i="1"/>
  <c r="P360" i="1"/>
  <c r="Q360" i="1"/>
  <c r="S360" i="1"/>
  <c r="T360" i="1"/>
  <c r="U360" i="1"/>
  <c r="V360" i="1"/>
  <c r="W360" i="1"/>
  <c r="X360" i="1"/>
  <c r="Y360" i="1"/>
  <c r="Z360" i="1"/>
  <c r="AA360" i="1"/>
  <c r="AB360" i="1"/>
  <c r="AC360" i="1"/>
  <c r="AD360" i="1"/>
  <c r="AF360" i="1"/>
  <c r="AH360" i="1"/>
  <c r="AJ360" i="1"/>
  <c r="F361" i="1"/>
  <c r="J361" i="1"/>
  <c r="J151" i="1" s="1"/>
  <c r="K361" i="1"/>
  <c r="L361" i="1"/>
  <c r="M361" i="1"/>
  <c r="O361" i="1"/>
  <c r="P361" i="1"/>
  <c r="Q361" i="1"/>
  <c r="S361" i="1"/>
  <c r="T361" i="1"/>
  <c r="U361" i="1"/>
  <c r="V361" i="1"/>
  <c r="W361" i="1"/>
  <c r="X361" i="1"/>
  <c r="Y361" i="1"/>
  <c r="Z361" i="1"/>
  <c r="AA361" i="1"/>
  <c r="AB361" i="1"/>
  <c r="AC361" i="1"/>
  <c r="AD361" i="1"/>
  <c r="AF361" i="1"/>
  <c r="AH361" i="1"/>
  <c r="AJ361" i="1"/>
  <c r="F362" i="1"/>
  <c r="J362" i="1" s="1"/>
  <c r="J152" i="1" s="1"/>
  <c r="K362" i="1"/>
  <c r="L362" i="1"/>
  <c r="M362" i="1"/>
  <c r="O362" i="1"/>
  <c r="P362" i="1"/>
  <c r="Q362" i="1"/>
  <c r="S362" i="1"/>
  <c r="T362" i="1"/>
  <c r="U362" i="1"/>
  <c r="V362" i="1"/>
  <c r="W362" i="1"/>
  <c r="X362" i="1"/>
  <c r="Y362" i="1"/>
  <c r="Z362" i="1"/>
  <c r="AA362" i="1"/>
  <c r="AB362" i="1"/>
  <c r="AC362" i="1"/>
  <c r="AD362" i="1"/>
  <c r="AF362" i="1"/>
  <c r="AH362" i="1"/>
  <c r="AJ362" i="1"/>
  <c r="F363" i="1"/>
  <c r="I363" i="1"/>
  <c r="K363" i="1"/>
  <c r="L363" i="1"/>
  <c r="M363" i="1"/>
  <c r="O363" i="1"/>
  <c r="P363" i="1"/>
  <c r="Q363" i="1"/>
  <c r="S363" i="1"/>
  <c r="T363" i="1"/>
  <c r="U363" i="1"/>
  <c r="V363" i="1"/>
  <c r="W363" i="1"/>
  <c r="X363" i="1"/>
  <c r="Y363" i="1"/>
  <c r="Z363" i="1"/>
  <c r="AA363" i="1"/>
  <c r="AB363" i="1"/>
  <c r="AC363" i="1"/>
  <c r="AD363" i="1"/>
  <c r="AF363" i="1"/>
  <c r="AH363" i="1"/>
  <c r="AJ363" i="1"/>
  <c r="H364" i="1"/>
  <c r="I364" i="1"/>
  <c r="J364" i="1"/>
  <c r="K364" i="1"/>
  <c r="L364" i="1"/>
  <c r="M364" i="1"/>
  <c r="O364" i="1"/>
  <c r="P364" i="1"/>
  <c r="Q364" i="1"/>
  <c r="S364" i="1"/>
  <c r="T364" i="1"/>
  <c r="U364" i="1"/>
  <c r="V364" i="1"/>
  <c r="W364" i="1"/>
  <c r="X364" i="1"/>
  <c r="Y364" i="1"/>
  <c r="Z364" i="1"/>
  <c r="AA364" i="1"/>
  <c r="AB364" i="1"/>
  <c r="AC364" i="1"/>
  <c r="AD364" i="1"/>
  <c r="AF364" i="1"/>
  <c r="AH364" i="1"/>
  <c r="AJ364" i="1"/>
  <c r="F369" i="1"/>
  <c r="F370" i="1"/>
  <c r="J370" i="1"/>
  <c r="K370" i="1"/>
  <c r="L370" i="1"/>
  <c r="M370" i="1"/>
  <c r="O370" i="1"/>
  <c r="P370" i="1"/>
  <c r="Q370" i="1"/>
  <c r="S370" i="1"/>
  <c r="T370" i="1"/>
  <c r="U370" i="1"/>
  <c r="V370" i="1"/>
  <c r="W370" i="1"/>
  <c r="X370" i="1"/>
  <c r="Y370" i="1"/>
  <c r="Z370" i="1"/>
  <c r="AA370" i="1"/>
  <c r="AB370" i="1"/>
  <c r="AC370" i="1"/>
  <c r="AD370" i="1"/>
  <c r="AF370" i="1"/>
  <c r="AH370" i="1"/>
  <c r="AJ370" i="1"/>
  <c r="F371" i="1"/>
  <c r="K371" i="1"/>
  <c r="H371" i="1"/>
  <c r="I371" i="1"/>
  <c r="J371" i="1"/>
  <c r="L371" i="1"/>
  <c r="M371" i="1"/>
  <c r="O371" i="1"/>
  <c r="P371" i="1"/>
  <c r="Q371" i="1"/>
  <c r="S371" i="1"/>
  <c r="T371" i="1"/>
  <c r="U371" i="1"/>
  <c r="V371" i="1"/>
  <c r="W371" i="1"/>
  <c r="X371" i="1"/>
  <c r="Y371" i="1"/>
  <c r="Z371" i="1"/>
  <c r="AA371" i="1"/>
  <c r="AB371" i="1"/>
  <c r="AC371" i="1"/>
  <c r="AD371" i="1"/>
  <c r="AF371" i="1"/>
  <c r="AH371" i="1"/>
  <c r="AJ371" i="1"/>
  <c r="F372" i="1"/>
  <c r="H372" i="1"/>
  <c r="I372" i="1"/>
  <c r="J372" i="1"/>
  <c r="K372" i="1"/>
  <c r="L372" i="1"/>
  <c r="M372" i="1"/>
  <c r="O372" i="1"/>
  <c r="P372" i="1"/>
  <c r="Q372" i="1"/>
  <c r="S372" i="1"/>
  <c r="T372" i="1"/>
  <c r="U372" i="1"/>
  <c r="V372" i="1"/>
  <c r="W372" i="1"/>
  <c r="X372" i="1"/>
  <c r="Y372" i="1"/>
  <c r="Z372" i="1"/>
  <c r="AA372" i="1"/>
  <c r="AB372" i="1"/>
  <c r="AC372" i="1"/>
  <c r="AD372" i="1"/>
  <c r="AF372" i="1"/>
  <c r="AH372" i="1"/>
  <c r="AJ372" i="1"/>
  <c r="F373" i="1"/>
  <c r="H373" i="1"/>
  <c r="I373" i="1"/>
  <c r="J373" i="1"/>
  <c r="K373" i="1"/>
  <c r="L373" i="1"/>
  <c r="M373" i="1"/>
  <c r="O373" i="1"/>
  <c r="P373" i="1"/>
  <c r="Q373" i="1"/>
  <c r="S373" i="1"/>
  <c r="T373" i="1"/>
  <c r="U373" i="1"/>
  <c r="V373" i="1"/>
  <c r="W373" i="1"/>
  <c r="X373" i="1"/>
  <c r="Y373" i="1"/>
  <c r="Z373" i="1"/>
  <c r="AA373" i="1"/>
  <c r="AB373" i="1"/>
  <c r="AC373" i="1"/>
  <c r="AD373" i="1"/>
  <c r="AF373" i="1"/>
  <c r="AH373" i="1"/>
  <c r="AJ373" i="1"/>
  <c r="F380" i="1"/>
  <c r="H381" i="1"/>
  <c r="I381" i="1"/>
  <c r="J381" i="1"/>
  <c r="K381" i="1"/>
  <c r="L381" i="1"/>
  <c r="M381" i="1"/>
  <c r="O381" i="1"/>
  <c r="P381" i="1"/>
  <c r="Q381" i="1"/>
  <c r="S381" i="1"/>
  <c r="T381" i="1"/>
  <c r="U381" i="1"/>
  <c r="V381" i="1"/>
  <c r="W381" i="1"/>
  <c r="X381" i="1"/>
  <c r="Y381" i="1"/>
  <c r="Z381" i="1"/>
  <c r="AA381" i="1"/>
  <c r="AB381" i="1"/>
  <c r="AC381" i="1"/>
  <c r="AD381" i="1"/>
  <c r="AF381" i="1"/>
  <c r="AH381" i="1"/>
  <c r="AJ381" i="1"/>
  <c r="H382" i="1"/>
  <c r="I382" i="1"/>
  <c r="J382" i="1"/>
  <c r="K382" i="1"/>
  <c r="L382" i="1"/>
  <c r="M382" i="1"/>
  <c r="O382" i="1"/>
  <c r="P382" i="1"/>
  <c r="Q382" i="1"/>
  <c r="S382" i="1"/>
  <c r="T382" i="1"/>
  <c r="U382" i="1"/>
  <c r="V382" i="1"/>
  <c r="W382" i="1"/>
  <c r="X382" i="1"/>
  <c r="Y382" i="1"/>
  <c r="Z382" i="1"/>
  <c r="AA382" i="1"/>
  <c r="AB382" i="1"/>
  <c r="AC382" i="1"/>
  <c r="AD382" i="1"/>
  <c r="AF382" i="1"/>
  <c r="AH382" i="1"/>
  <c r="AJ382" i="1"/>
  <c r="F383" i="1"/>
  <c r="H383" i="1"/>
  <c r="H173" i="1" s="1"/>
  <c r="K383" i="1"/>
  <c r="L383" i="1"/>
  <c r="M383" i="1"/>
  <c r="O383" i="1"/>
  <c r="P383" i="1"/>
  <c r="Q383" i="1"/>
  <c r="S383" i="1"/>
  <c r="T383" i="1"/>
  <c r="U383" i="1"/>
  <c r="V383" i="1"/>
  <c r="W383" i="1"/>
  <c r="X383" i="1"/>
  <c r="Y383" i="1"/>
  <c r="Z383" i="1"/>
  <c r="AA383" i="1"/>
  <c r="AB383" i="1"/>
  <c r="AC383" i="1"/>
  <c r="AD383" i="1"/>
  <c r="AF383" i="1"/>
  <c r="AH383" i="1"/>
  <c r="AJ383" i="1"/>
  <c r="F384" i="1"/>
  <c r="K384" i="1"/>
  <c r="L384" i="1"/>
  <c r="M384" i="1"/>
  <c r="O384" i="1"/>
  <c r="P384" i="1"/>
  <c r="Q384" i="1"/>
  <c r="S384" i="1"/>
  <c r="T384" i="1"/>
  <c r="U384" i="1"/>
  <c r="V384" i="1"/>
  <c r="W384" i="1"/>
  <c r="X384" i="1"/>
  <c r="Y384" i="1"/>
  <c r="Z384" i="1"/>
  <c r="AA384" i="1"/>
  <c r="AB384" i="1"/>
  <c r="AC384" i="1"/>
  <c r="AD384" i="1"/>
  <c r="AF384" i="1"/>
  <c r="AH384" i="1"/>
  <c r="AJ384" i="1"/>
  <c r="H385" i="1"/>
  <c r="I385" i="1"/>
  <c r="J385" i="1"/>
  <c r="K385" i="1"/>
  <c r="L385" i="1"/>
  <c r="M385" i="1"/>
  <c r="O385" i="1"/>
  <c r="P385" i="1"/>
  <c r="Q385" i="1"/>
  <c r="S385" i="1"/>
  <c r="T385" i="1"/>
  <c r="U385" i="1"/>
  <c r="V385" i="1"/>
  <c r="W385" i="1"/>
  <c r="X385" i="1"/>
  <c r="Y385" i="1"/>
  <c r="Z385" i="1"/>
  <c r="AA385" i="1"/>
  <c r="AB385" i="1"/>
  <c r="AC385" i="1"/>
  <c r="AD385" i="1"/>
  <c r="AF385" i="1"/>
  <c r="AH385" i="1"/>
  <c r="AJ385" i="1"/>
  <c r="F390" i="1"/>
  <c r="F391" i="1"/>
  <c r="K391" i="1"/>
  <c r="L391" i="1"/>
  <c r="M391" i="1"/>
  <c r="O391" i="1"/>
  <c r="P391" i="1"/>
  <c r="Q391" i="1"/>
  <c r="S391" i="1"/>
  <c r="T391" i="1"/>
  <c r="U391" i="1"/>
  <c r="V391" i="1"/>
  <c r="W391" i="1"/>
  <c r="X391" i="1"/>
  <c r="Y391" i="1"/>
  <c r="Z391" i="1"/>
  <c r="AA391" i="1"/>
  <c r="AB391" i="1"/>
  <c r="AC391" i="1"/>
  <c r="AD391" i="1"/>
  <c r="AF391" i="1"/>
  <c r="AH391" i="1"/>
  <c r="AJ391" i="1"/>
  <c r="H392" i="1"/>
  <c r="I392" i="1"/>
  <c r="J392" i="1"/>
  <c r="K392" i="1"/>
  <c r="L392" i="1"/>
  <c r="M392" i="1"/>
  <c r="O392" i="1"/>
  <c r="P392" i="1"/>
  <c r="Q392" i="1"/>
  <c r="S392" i="1"/>
  <c r="T392" i="1"/>
  <c r="U392" i="1"/>
  <c r="V392" i="1"/>
  <c r="W392" i="1"/>
  <c r="X392" i="1"/>
  <c r="Y392" i="1"/>
  <c r="Z392" i="1"/>
  <c r="AA392" i="1"/>
  <c r="AB392" i="1"/>
  <c r="AC392" i="1"/>
  <c r="AD392" i="1"/>
  <c r="AF392" i="1"/>
  <c r="AH392" i="1"/>
  <c r="AJ392" i="1"/>
  <c r="F393" i="1"/>
  <c r="K393" i="1"/>
  <c r="H393" i="1"/>
  <c r="I393" i="1"/>
  <c r="J393" i="1"/>
  <c r="L393" i="1"/>
  <c r="M393" i="1"/>
  <c r="O393" i="1"/>
  <c r="P393" i="1"/>
  <c r="Q393" i="1"/>
  <c r="S393" i="1"/>
  <c r="T393" i="1"/>
  <c r="U393" i="1"/>
  <c r="V393" i="1"/>
  <c r="W393" i="1"/>
  <c r="X393" i="1"/>
  <c r="Y393" i="1"/>
  <c r="Z393" i="1"/>
  <c r="AA393" i="1"/>
  <c r="AB393" i="1"/>
  <c r="AC393" i="1"/>
  <c r="AD393" i="1"/>
  <c r="AF393" i="1"/>
  <c r="AH393" i="1"/>
  <c r="AJ393" i="1"/>
  <c r="F394" i="1"/>
  <c r="K394" i="1"/>
  <c r="H394" i="1"/>
  <c r="I394" i="1"/>
  <c r="J394" i="1"/>
  <c r="L394" i="1"/>
  <c r="M394" i="1"/>
  <c r="O394" i="1"/>
  <c r="P394" i="1"/>
  <c r="Q394" i="1"/>
  <c r="S394" i="1"/>
  <c r="T394" i="1"/>
  <c r="U394" i="1"/>
  <c r="V394" i="1"/>
  <c r="W394" i="1"/>
  <c r="X394" i="1"/>
  <c r="Y394" i="1"/>
  <c r="Z394" i="1"/>
  <c r="AA394" i="1"/>
  <c r="AB394" i="1"/>
  <c r="AC394" i="1"/>
  <c r="AD394" i="1"/>
  <c r="AF394" i="1"/>
  <c r="AH394" i="1"/>
  <c r="AJ394" i="1"/>
  <c r="F401" i="1"/>
  <c r="K401" i="1"/>
  <c r="L401" i="1"/>
  <c r="M401" i="1"/>
  <c r="O401" i="1"/>
  <c r="P401" i="1"/>
  <c r="Q401" i="1"/>
  <c r="S401" i="1"/>
  <c r="T401" i="1"/>
  <c r="U401" i="1"/>
  <c r="V401" i="1"/>
  <c r="W401" i="1"/>
  <c r="X401" i="1"/>
  <c r="Y401" i="1"/>
  <c r="Z401" i="1"/>
  <c r="AA401" i="1"/>
  <c r="AB401" i="1"/>
  <c r="AC401" i="1"/>
  <c r="AD401" i="1"/>
  <c r="AF401" i="1"/>
  <c r="AH401" i="1"/>
  <c r="AJ401" i="1"/>
  <c r="F402" i="1"/>
  <c r="H402" i="1"/>
  <c r="I402" i="1"/>
  <c r="J402" i="1"/>
  <c r="K402" i="1"/>
  <c r="L402" i="1"/>
  <c r="M402" i="1"/>
  <c r="O402" i="1"/>
  <c r="P402" i="1"/>
  <c r="Q402" i="1"/>
  <c r="S402" i="1"/>
  <c r="T402" i="1"/>
  <c r="U402" i="1"/>
  <c r="V402" i="1"/>
  <c r="W402" i="1"/>
  <c r="X402" i="1"/>
  <c r="Y402" i="1"/>
  <c r="Z402" i="1"/>
  <c r="AA402" i="1"/>
  <c r="AB402" i="1"/>
  <c r="AC402" i="1"/>
  <c r="AD402" i="1"/>
  <c r="AF402" i="1"/>
  <c r="AH402" i="1"/>
  <c r="AJ402" i="1"/>
  <c r="F403" i="1"/>
  <c r="K403" i="1"/>
  <c r="L403" i="1"/>
  <c r="M403" i="1"/>
  <c r="O403" i="1"/>
  <c r="P403" i="1"/>
  <c r="Q403" i="1"/>
  <c r="S403" i="1"/>
  <c r="T403" i="1"/>
  <c r="U403" i="1"/>
  <c r="V403" i="1"/>
  <c r="W403" i="1"/>
  <c r="X403" i="1"/>
  <c r="Y403" i="1"/>
  <c r="Z403" i="1"/>
  <c r="AA403" i="1"/>
  <c r="AB403" i="1"/>
  <c r="AC403" i="1"/>
  <c r="AD403" i="1"/>
  <c r="AF403" i="1"/>
  <c r="AH403" i="1"/>
  <c r="AJ403" i="1"/>
  <c r="F404" i="1"/>
  <c r="K404" i="1"/>
  <c r="L404" i="1"/>
  <c r="M404" i="1"/>
  <c r="O404" i="1"/>
  <c r="P404" i="1"/>
  <c r="Q404" i="1"/>
  <c r="S404" i="1"/>
  <c r="T404" i="1"/>
  <c r="U404" i="1"/>
  <c r="V404" i="1"/>
  <c r="W404" i="1"/>
  <c r="X404" i="1"/>
  <c r="Y404" i="1"/>
  <c r="Z404" i="1"/>
  <c r="AA404" i="1"/>
  <c r="AB404" i="1"/>
  <c r="AC404" i="1"/>
  <c r="AD404" i="1"/>
  <c r="AF404" i="1"/>
  <c r="AH404" i="1"/>
  <c r="AJ404" i="1"/>
  <c r="F405" i="1"/>
  <c r="K405" i="1"/>
  <c r="L405" i="1"/>
  <c r="M405" i="1"/>
  <c r="O405" i="1"/>
  <c r="P405" i="1"/>
  <c r="Q405" i="1"/>
  <c r="S405" i="1"/>
  <c r="T405" i="1"/>
  <c r="U405" i="1"/>
  <c r="V405" i="1"/>
  <c r="W405" i="1"/>
  <c r="X405" i="1"/>
  <c r="Y405" i="1"/>
  <c r="Z405" i="1"/>
  <c r="AA405" i="1"/>
  <c r="AB405" i="1"/>
  <c r="AC405" i="1"/>
  <c r="AD405" i="1"/>
  <c r="AF405" i="1"/>
  <c r="AH405" i="1"/>
  <c r="AJ405" i="1"/>
  <c r="F412" i="1"/>
  <c r="K412" i="1"/>
  <c r="L412" i="1"/>
  <c r="M412" i="1"/>
  <c r="O412" i="1"/>
  <c r="P412" i="1"/>
  <c r="Q412" i="1"/>
  <c r="S412" i="1"/>
  <c r="T412" i="1"/>
  <c r="U412" i="1"/>
  <c r="V412" i="1"/>
  <c r="W412" i="1"/>
  <c r="X412" i="1"/>
  <c r="Y412" i="1"/>
  <c r="Z412" i="1"/>
  <c r="AA412" i="1"/>
  <c r="AB412" i="1"/>
  <c r="AC412" i="1"/>
  <c r="AD412" i="1"/>
  <c r="AF412" i="1"/>
  <c r="AH412" i="1"/>
  <c r="AJ412" i="1"/>
  <c r="F413" i="1"/>
  <c r="H413" i="1"/>
  <c r="K413" i="1"/>
  <c r="L413" i="1"/>
  <c r="M413" i="1"/>
  <c r="O413" i="1"/>
  <c r="P413" i="1"/>
  <c r="Q413" i="1"/>
  <c r="S413" i="1"/>
  <c r="T413" i="1"/>
  <c r="U413" i="1"/>
  <c r="V413" i="1"/>
  <c r="W413" i="1"/>
  <c r="X413" i="1"/>
  <c r="Y413" i="1"/>
  <c r="Z413" i="1"/>
  <c r="AA413" i="1"/>
  <c r="AB413" i="1"/>
  <c r="AC413" i="1"/>
  <c r="AD413" i="1"/>
  <c r="AF413" i="1"/>
  <c r="AH413" i="1"/>
  <c r="AJ413" i="1"/>
  <c r="F414" i="1"/>
  <c r="H414" i="1" s="1"/>
  <c r="K414" i="1"/>
  <c r="L414" i="1"/>
  <c r="M414" i="1"/>
  <c r="O414" i="1"/>
  <c r="P414" i="1"/>
  <c r="Q414" i="1"/>
  <c r="S414" i="1"/>
  <c r="T414" i="1"/>
  <c r="U414" i="1"/>
  <c r="V414" i="1"/>
  <c r="W414" i="1"/>
  <c r="X414" i="1"/>
  <c r="Y414" i="1"/>
  <c r="Z414" i="1"/>
  <c r="AA414" i="1"/>
  <c r="AB414" i="1"/>
  <c r="AC414" i="1"/>
  <c r="AD414" i="1"/>
  <c r="AF414" i="1"/>
  <c r="AH414" i="1"/>
  <c r="AJ414" i="1"/>
  <c r="F415" i="1"/>
  <c r="I415" i="1"/>
  <c r="K415" i="1"/>
  <c r="L415" i="1"/>
  <c r="M415" i="1"/>
  <c r="O415" i="1"/>
  <c r="P415" i="1"/>
  <c r="Q415" i="1"/>
  <c r="S415" i="1"/>
  <c r="T415" i="1"/>
  <c r="U415" i="1"/>
  <c r="V415" i="1"/>
  <c r="W415" i="1"/>
  <c r="X415" i="1"/>
  <c r="Y415" i="1"/>
  <c r="Z415" i="1"/>
  <c r="AA415" i="1"/>
  <c r="AB415" i="1"/>
  <c r="AC415" i="1"/>
  <c r="AD415" i="1"/>
  <c r="AF415" i="1"/>
  <c r="AH415" i="1"/>
  <c r="AJ415" i="1"/>
  <c r="F424" i="1"/>
  <c r="F425" i="1"/>
  <c r="I425" i="1"/>
  <c r="K425" i="1"/>
  <c r="L425" i="1"/>
  <c r="M425" i="1"/>
  <c r="O425" i="1"/>
  <c r="P425" i="1"/>
  <c r="Q425" i="1"/>
  <c r="S425" i="1"/>
  <c r="T425" i="1"/>
  <c r="U425" i="1"/>
  <c r="V425" i="1"/>
  <c r="W425" i="1"/>
  <c r="X425" i="1"/>
  <c r="Y425" i="1"/>
  <c r="Z425" i="1"/>
  <c r="AA425" i="1"/>
  <c r="AB425" i="1"/>
  <c r="AC425" i="1"/>
  <c r="AD425" i="1"/>
  <c r="AF425" i="1"/>
  <c r="AH425" i="1"/>
  <c r="AJ425" i="1"/>
  <c r="F426" i="1"/>
  <c r="J426" i="1" s="1"/>
  <c r="K426" i="1"/>
  <c r="L426" i="1"/>
  <c r="M426" i="1"/>
  <c r="O426" i="1"/>
  <c r="P426" i="1"/>
  <c r="Q426" i="1"/>
  <c r="S426" i="1"/>
  <c r="T426" i="1"/>
  <c r="U426" i="1"/>
  <c r="V426" i="1"/>
  <c r="W426" i="1"/>
  <c r="X426" i="1"/>
  <c r="Y426" i="1"/>
  <c r="Z426" i="1"/>
  <c r="AA426" i="1"/>
  <c r="AB426" i="1"/>
  <c r="AC426" i="1"/>
  <c r="AD426" i="1"/>
  <c r="AF426" i="1"/>
  <c r="AH426" i="1"/>
  <c r="AJ426" i="1"/>
  <c r="F431" i="1"/>
  <c r="F432" i="1"/>
  <c r="F433" i="1"/>
  <c r="F434" i="1"/>
  <c r="F435" i="1"/>
  <c r="F437" i="1"/>
  <c r="F438" i="1"/>
  <c r="F439" i="1"/>
  <c r="F440" i="1"/>
  <c r="G442" i="1"/>
  <c r="F445" i="1"/>
  <c r="F446" i="1"/>
  <c r="T446" i="1"/>
  <c r="H446" i="1"/>
  <c r="K446" i="1"/>
  <c r="P446" i="1"/>
  <c r="V446" i="1"/>
  <c r="F447" i="1"/>
  <c r="T447" i="1"/>
  <c r="K447" i="1"/>
  <c r="L447" i="1"/>
  <c r="V447" i="1"/>
  <c r="F448" i="1"/>
  <c r="AJ448" i="1"/>
  <c r="F449" i="1"/>
  <c r="O449" i="1"/>
  <c r="U449" i="1"/>
  <c r="AH449" i="1"/>
  <c r="F450" i="1"/>
  <c r="F451" i="1"/>
  <c r="K451" i="1"/>
  <c r="O451" i="1"/>
  <c r="T451" i="1"/>
  <c r="H452" i="1"/>
  <c r="I452" i="1"/>
  <c r="J452" i="1"/>
  <c r="K452" i="1"/>
  <c r="L452" i="1"/>
  <c r="M452" i="1"/>
  <c r="O452" i="1"/>
  <c r="P452" i="1"/>
  <c r="Q452" i="1"/>
  <c r="S452" i="1"/>
  <c r="T452" i="1"/>
  <c r="U452" i="1"/>
  <c r="V452" i="1"/>
  <c r="W452" i="1"/>
  <c r="X452" i="1"/>
  <c r="Y452" i="1"/>
  <c r="Z452" i="1"/>
  <c r="AA452" i="1"/>
  <c r="AB452" i="1"/>
  <c r="AC452" i="1"/>
  <c r="AD452" i="1"/>
  <c r="AF452" i="1"/>
  <c r="AH452" i="1"/>
  <c r="AJ452" i="1"/>
  <c r="F453" i="1"/>
  <c r="P453" i="1"/>
  <c r="W453" i="1"/>
  <c r="AH453" i="1"/>
  <c r="F454" i="1"/>
  <c r="F455" i="1"/>
  <c r="G457" i="1"/>
  <c r="F469" i="1"/>
  <c r="F470" i="1"/>
  <c r="K470" i="1"/>
  <c r="P470" i="1"/>
  <c r="V470" i="1"/>
  <c r="Z470" i="1"/>
  <c r="F471" i="1"/>
  <c r="K471" i="1"/>
  <c r="P471" i="1"/>
  <c r="Z471" i="1"/>
  <c r="AD471" i="1"/>
  <c r="F472" i="1"/>
  <c r="F473" i="1"/>
  <c r="J473" i="1"/>
  <c r="F474" i="1"/>
  <c r="I474" i="1"/>
  <c r="T474" i="1"/>
  <c r="W474" i="1"/>
  <c r="F475" i="1"/>
  <c r="AA475" i="1"/>
  <c r="F476" i="1"/>
  <c r="O476" i="1"/>
  <c r="T476" i="1"/>
  <c r="F477" i="1"/>
  <c r="G479" i="1"/>
  <c r="F488" i="1"/>
  <c r="AF488" i="1"/>
  <c r="H488" i="1"/>
  <c r="I488" i="1"/>
  <c r="J488" i="1"/>
  <c r="K488" i="1"/>
  <c r="L488" i="1"/>
  <c r="M488" i="1"/>
  <c r="O488" i="1"/>
  <c r="P488" i="1"/>
  <c r="Q488" i="1"/>
  <c r="S488" i="1"/>
  <c r="T488" i="1"/>
  <c r="U488" i="1"/>
  <c r="V488" i="1"/>
  <c r="W488" i="1"/>
  <c r="X488" i="1"/>
  <c r="Y488" i="1"/>
  <c r="Z488" i="1"/>
  <c r="AA488" i="1"/>
  <c r="AB488" i="1"/>
  <c r="AC488" i="1"/>
  <c r="AD488" i="1"/>
  <c r="AH488" i="1"/>
  <c r="AJ488" i="1"/>
  <c r="F489" i="1"/>
  <c r="AF489" i="1" s="1"/>
  <c r="H489" i="1"/>
  <c r="I489" i="1"/>
  <c r="J489" i="1"/>
  <c r="K489" i="1"/>
  <c r="L489" i="1"/>
  <c r="M489" i="1"/>
  <c r="O489" i="1"/>
  <c r="P489" i="1"/>
  <c r="Q489" i="1"/>
  <c r="S489" i="1"/>
  <c r="T489" i="1"/>
  <c r="U489" i="1"/>
  <c r="V489" i="1"/>
  <c r="W489" i="1"/>
  <c r="X489" i="1"/>
  <c r="Y489" i="1"/>
  <c r="Z489" i="1"/>
  <c r="AA489" i="1"/>
  <c r="AB489" i="1"/>
  <c r="AC489" i="1"/>
  <c r="AD489" i="1"/>
  <c r="AH489" i="1"/>
  <c r="AJ489" i="1"/>
  <c r="F490" i="1"/>
  <c r="H490" i="1"/>
  <c r="I490" i="1"/>
  <c r="J490" i="1"/>
  <c r="K490" i="1"/>
  <c r="L490" i="1"/>
  <c r="M490" i="1"/>
  <c r="O490" i="1"/>
  <c r="P490" i="1"/>
  <c r="Q490" i="1"/>
  <c r="S490" i="1"/>
  <c r="T490" i="1"/>
  <c r="U490" i="1"/>
  <c r="V490" i="1"/>
  <c r="W490" i="1"/>
  <c r="X490" i="1"/>
  <c r="Y490" i="1"/>
  <c r="Z490" i="1"/>
  <c r="AA490" i="1"/>
  <c r="AB490" i="1"/>
  <c r="AC490" i="1"/>
  <c r="AD490" i="1"/>
  <c r="AH490" i="1"/>
  <c r="AJ490" i="1"/>
  <c r="F491" i="1"/>
  <c r="AF491" i="1"/>
  <c r="H491" i="1"/>
  <c r="I491" i="1"/>
  <c r="J491" i="1"/>
  <c r="K491" i="1"/>
  <c r="L491" i="1"/>
  <c r="M491" i="1"/>
  <c r="O491" i="1"/>
  <c r="P491" i="1"/>
  <c r="Q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H491" i="1"/>
  <c r="AJ491" i="1"/>
  <c r="F492" i="1"/>
  <c r="AF492" i="1"/>
  <c r="H492" i="1"/>
  <c r="I492" i="1"/>
  <c r="J492" i="1"/>
  <c r="K492" i="1"/>
  <c r="L492" i="1"/>
  <c r="M492" i="1"/>
  <c r="O492" i="1"/>
  <c r="P492" i="1"/>
  <c r="Q492" i="1"/>
  <c r="S492" i="1"/>
  <c r="T492" i="1"/>
  <c r="U492" i="1"/>
  <c r="V492" i="1"/>
  <c r="W492" i="1"/>
  <c r="X492" i="1"/>
  <c r="Y492" i="1"/>
  <c r="Z492" i="1"/>
  <c r="AA492" i="1"/>
  <c r="AB492" i="1"/>
  <c r="AC492" i="1"/>
  <c r="AD492" i="1"/>
  <c r="AH492" i="1"/>
  <c r="AJ492" i="1"/>
  <c r="G494" i="1"/>
  <c r="F497" i="1"/>
  <c r="H497" i="1"/>
  <c r="I497" i="1"/>
  <c r="J497" i="1"/>
  <c r="K497" i="1"/>
  <c r="L497" i="1"/>
  <c r="M497" i="1"/>
  <c r="O497" i="1"/>
  <c r="P497" i="1"/>
  <c r="Q497" i="1"/>
  <c r="S497" i="1"/>
  <c r="T497" i="1"/>
  <c r="U497" i="1"/>
  <c r="V497" i="1"/>
  <c r="W497" i="1"/>
  <c r="X497" i="1"/>
  <c r="Y497" i="1"/>
  <c r="Z497" i="1"/>
  <c r="AA497" i="1"/>
  <c r="AB497" i="1"/>
  <c r="AC497" i="1"/>
  <c r="AC509" i="1" s="1"/>
  <c r="AD497" i="1"/>
  <c r="AF497" i="1"/>
  <c r="AJ497" i="1"/>
  <c r="F498" i="1"/>
  <c r="AH498" i="1"/>
  <c r="H498" i="1"/>
  <c r="I498" i="1"/>
  <c r="J498" i="1"/>
  <c r="K498" i="1"/>
  <c r="L498" i="1"/>
  <c r="M498" i="1"/>
  <c r="O498" i="1"/>
  <c r="P498" i="1"/>
  <c r="Q498" i="1"/>
  <c r="S498" i="1"/>
  <c r="T498" i="1"/>
  <c r="U498" i="1"/>
  <c r="V498" i="1"/>
  <c r="W498" i="1"/>
  <c r="X498" i="1"/>
  <c r="Y498" i="1"/>
  <c r="Z498" i="1"/>
  <c r="AA498" i="1"/>
  <c r="AB498" i="1"/>
  <c r="AC498" i="1"/>
  <c r="AD498" i="1"/>
  <c r="AF498" i="1"/>
  <c r="AJ498" i="1"/>
  <c r="H499" i="1"/>
  <c r="I499" i="1"/>
  <c r="J499" i="1"/>
  <c r="K499" i="1"/>
  <c r="L499" i="1"/>
  <c r="M499" i="1"/>
  <c r="O499" i="1"/>
  <c r="P499" i="1"/>
  <c r="Q499" i="1"/>
  <c r="S499" i="1"/>
  <c r="T499" i="1"/>
  <c r="U499" i="1"/>
  <c r="V499" i="1"/>
  <c r="W499" i="1"/>
  <c r="X499" i="1"/>
  <c r="Y499" i="1"/>
  <c r="Z499" i="1"/>
  <c r="AA499" i="1"/>
  <c r="AB499" i="1"/>
  <c r="AC499" i="1"/>
  <c r="AD499" i="1"/>
  <c r="AF499" i="1"/>
  <c r="AH499" i="1"/>
  <c r="AJ499" i="1"/>
  <c r="F500" i="1"/>
  <c r="AH500" i="1" s="1"/>
  <c r="H500" i="1"/>
  <c r="I500" i="1"/>
  <c r="J500" i="1"/>
  <c r="K500" i="1"/>
  <c r="L500" i="1"/>
  <c r="M500" i="1"/>
  <c r="O500" i="1"/>
  <c r="P500" i="1"/>
  <c r="Q500" i="1"/>
  <c r="S500" i="1"/>
  <c r="T500" i="1"/>
  <c r="U500" i="1"/>
  <c r="V500" i="1"/>
  <c r="W500" i="1"/>
  <c r="X500" i="1"/>
  <c r="Y500" i="1"/>
  <c r="Z500" i="1"/>
  <c r="AA500" i="1"/>
  <c r="AB500" i="1"/>
  <c r="AC500" i="1"/>
  <c r="AD500" i="1"/>
  <c r="AF500" i="1"/>
  <c r="AJ500" i="1"/>
  <c r="H501" i="1"/>
  <c r="I501" i="1"/>
  <c r="J501" i="1"/>
  <c r="K501" i="1"/>
  <c r="L501" i="1"/>
  <c r="M501" i="1"/>
  <c r="O501" i="1"/>
  <c r="P501" i="1"/>
  <c r="Q501" i="1"/>
  <c r="S501" i="1"/>
  <c r="T501" i="1"/>
  <c r="U501" i="1"/>
  <c r="V501" i="1"/>
  <c r="W501" i="1"/>
  <c r="X501" i="1"/>
  <c r="Y501" i="1"/>
  <c r="Z501" i="1"/>
  <c r="AA501" i="1"/>
  <c r="AB501" i="1"/>
  <c r="AC501" i="1"/>
  <c r="AD501" i="1"/>
  <c r="AF501" i="1"/>
  <c r="AH501" i="1"/>
  <c r="AJ501" i="1"/>
  <c r="F502" i="1"/>
  <c r="AH502" i="1" s="1"/>
  <c r="H502" i="1"/>
  <c r="I502" i="1"/>
  <c r="J502" i="1"/>
  <c r="K502" i="1"/>
  <c r="L502" i="1"/>
  <c r="M502" i="1"/>
  <c r="O502" i="1"/>
  <c r="P502" i="1"/>
  <c r="Q502" i="1"/>
  <c r="S502" i="1"/>
  <c r="T502" i="1"/>
  <c r="U502" i="1"/>
  <c r="V502" i="1"/>
  <c r="W502" i="1"/>
  <c r="X502" i="1"/>
  <c r="Y502" i="1"/>
  <c r="Z502" i="1"/>
  <c r="AA502" i="1"/>
  <c r="AB502" i="1"/>
  <c r="AC502" i="1"/>
  <c r="AD502" i="1"/>
  <c r="AF502" i="1"/>
  <c r="AJ502" i="1"/>
  <c r="H503" i="1"/>
  <c r="I503" i="1"/>
  <c r="J503" i="1"/>
  <c r="K503" i="1"/>
  <c r="L503" i="1"/>
  <c r="M503" i="1"/>
  <c r="O503" i="1"/>
  <c r="P503" i="1"/>
  <c r="Q503" i="1"/>
  <c r="S503" i="1"/>
  <c r="T503" i="1"/>
  <c r="U503" i="1"/>
  <c r="V503" i="1"/>
  <c r="W503" i="1"/>
  <c r="X503" i="1"/>
  <c r="Y503" i="1"/>
  <c r="Z503" i="1"/>
  <c r="AA503" i="1"/>
  <c r="AB503" i="1"/>
  <c r="AC503" i="1"/>
  <c r="AD503" i="1"/>
  <c r="AF503" i="1"/>
  <c r="AH503" i="1"/>
  <c r="AJ503" i="1"/>
  <c r="F504" i="1"/>
  <c r="AH504" i="1" s="1"/>
  <c r="H504" i="1"/>
  <c r="I504" i="1"/>
  <c r="J504" i="1"/>
  <c r="K504" i="1"/>
  <c r="L504" i="1"/>
  <c r="M504" i="1"/>
  <c r="O504" i="1"/>
  <c r="P504" i="1"/>
  <c r="Q504" i="1"/>
  <c r="S504" i="1"/>
  <c r="T504" i="1"/>
  <c r="U504" i="1"/>
  <c r="V504" i="1"/>
  <c r="W504" i="1"/>
  <c r="X504" i="1"/>
  <c r="Y504" i="1"/>
  <c r="Z504" i="1"/>
  <c r="AA504" i="1"/>
  <c r="AB504" i="1"/>
  <c r="AC504" i="1"/>
  <c r="AD504" i="1"/>
  <c r="AF504" i="1"/>
  <c r="AJ504" i="1"/>
  <c r="F505" i="1"/>
  <c r="AH505" i="1" s="1"/>
  <c r="H505" i="1"/>
  <c r="I505" i="1"/>
  <c r="J505" i="1"/>
  <c r="K505" i="1"/>
  <c r="L505" i="1"/>
  <c r="M505" i="1"/>
  <c r="O505" i="1"/>
  <c r="P505" i="1"/>
  <c r="Q505" i="1"/>
  <c r="S505" i="1"/>
  <c r="T505" i="1"/>
  <c r="U505" i="1"/>
  <c r="V505" i="1"/>
  <c r="W505" i="1"/>
  <c r="X505" i="1"/>
  <c r="Y505" i="1"/>
  <c r="Z505" i="1"/>
  <c r="AA505" i="1"/>
  <c r="AB505" i="1"/>
  <c r="AC505" i="1"/>
  <c r="AD505" i="1"/>
  <c r="AF505" i="1"/>
  <c r="AJ505" i="1"/>
  <c r="F506" i="1"/>
  <c r="AH506" i="1"/>
  <c r="H506" i="1"/>
  <c r="I506" i="1"/>
  <c r="J506" i="1"/>
  <c r="K506" i="1"/>
  <c r="L506" i="1"/>
  <c r="M506" i="1"/>
  <c r="O506" i="1"/>
  <c r="P506" i="1"/>
  <c r="Q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F506" i="1"/>
  <c r="AJ506" i="1"/>
  <c r="F507" i="1"/>
  <c r="AH507" i="1" s="1"/>
  <c r="H507" i="1"/>
  <c r="I507" i="1"/>
  <c r="J507" i="1"/>
  <c r="K507" i="1"/>
  <c r="L507" i="1"/>
  <c r="M507" i="1"/>
  <c r="O507" i="1"/>
  <c r="P507" i="1"/>
  <c r="Q507" i="1"/>
  <c r="S507" i="1"/>
  <c r="T507" i="1"/>
  <c r="U507" i="1"/>
  <c r="V507" i="1"/>
  <c r="W507" i="1"/>
  <c r="X507" i="1"/>
  <c r="Y507" i="1"/>
  <c r="Z507" i="1"/>
  <c r="AA507" i="1"/>
  <c r="AB507" i="1"/>
  <c r="AC507" i="1"/>
  <c r="AD507" i="1"/>
  <c r="AF507" i="1"/>
  <c r="AJ507" i="1"/>
  <c r="G509" i="1"/>
  <c r="F520" i="1"/>
  <c r="F521" i="1"/>
  <c r="F522" i="1"/>
  <c r="F523" i="1"/>
  <c r="F524" i="1"/>
  <c r="F525" i="1"/>
  <c r="F526" i="1"/>
  <c r="F528" i="1"/>
  <c r="F529" i="1"/>
  <c r="F530" i="1"/>
  <c r="F532" i="1"/>
  <c r="G534" i="1"/>
  <c r="G538" i="1"/>
  <c r="F567" i="1"/>
  <c r="T567" i="1"/>
  <c r="W567" i="1"/>
  <c r="X567" i="1"/>
  <c r="Y567" i="1"/>
  <c r="AB567" i="1"/>
  <c r="AC567" i="1"/>
  <c r="F568" i="1"/>
  <c r="T568" i="1"/>
  <c r="W568" i="1"/>
  <c r="X568" i="1"/>
  <c r="Y568" i="1"/>
  <c r="AB568" i="1"/>
  <c r="AC568" i="1"/>
  <c r="F569" i="1"/>
  <c r="T569" i="1"/>
  <c r="W569" i="1"/>
  <c r="X569" i="1"/>
  <c r="Y569" i="1"/>
  <c r="AB569" i="1"/>
  <c r="AC569" i="1"/>
  <c r="F570" i="1"/>
  <c r="F571" i="1"/>
  <c r="F572" i="1"/>
  <c r="F573" i="1"/>
  <c r="F574" i="1"/>
  <c r="F579" i="1"/>
  <c r="T579" i="1"/>
  <c r="W579" i="1"/>
  <c r="X579" i="1"/>
  <c r="Y579" i="1"/>
  <c r="AB579" i="1"/>
  <c r="AC579" i="1"/>
  <c r="F580" i="1"/>
  <c r="F581" i="1"/>
  <c r="AG583" i="1"/>
  <c r="F585" i="1"/>
  <c r="F587" i="1"/>
  <c r="F589" i="1"/>
  <c r="K589" i="1"/>
  <c r="F526" i="2" s="1"/>
  <c r="H589" i="1"/>
  <c r="F523" i="2" s="1"/>
  <c r="I589" i="1"/>
  <c r="J589" i="1"/>
  <c r="F525" i="2" s="1"/>
  <c r="L589" i="1"/>
  <c r="F527" i="2" s="1"/>
  <c r="M589" i="1"/>
  <c r="F528" i="2" s="1"/>
  <c r="O589" i="1"/>
  <c r="F532" i="2" s="1"/>
  <c r="P589" i="1"/>
  <c r="F533" i="2" s="1"/>
  <c r="Q589" i="1"/>
  <c r="F534" i="2" s="1"/>
  <c r="S589" i="1"/>
  <c r="F538" i="2" s="1"/>
  <c r="T589" i="1"/>
  <c r="F541" i="2" s="1"/>
  <c r="U589" i="1"/>
  <c r="F544" i="2" s="1"/>
  <c r="V589" i="1"/>
  <c r="F545" i="2" s="1"/>
  <c r="W589" i="1"/>
  <c r="F546" i="2" s="1"/>
  <c r="X589" i="1"/>
  <c r="F547" i="2" s="1"/>
  <c r="Y589" i="1"/>
  <c r="F548" i="2" s="1"/>
  <c r="Z589" i="1"/>
  <c r="F552" i="2" s="1"/>
  <c r="AA589" i="1"/>
  <c r="F553" i="2" s="1"/>
  <c r="AB589" i="1"/>
  <c r="F557" i="2" s="1"/>
  <c r="AC589" i="1"/>
  <c r="F560" i="2" s="1"/>
  <c r="AD589" i="1"/>
  <c r="F563" i="2" s="1"/>
  <c r="AF589" i="1"/>
  <c r="F566" i="2" s="1"/>
  <c r="AH589" i="1"/>
  <c r="F569" i="2" s="1"/>
  <c r="AJ589" i="1"/>
  <c r="F572" i="2" s="1"/>
  <c r="F591" i="1"/>
  <c r="G597" i="1"/>
  <c r="AE597" i="1"/>
  <c r="AG597" i="1"/>
  <c r="AI597" i="1"/>
  <c r="AK613" i="1"/>
  <c r="AL613" i="1"/>
  <c r="V614" i="1"/>
  <c r="W614" i="1"/>
  <c r="W615" i="1" s="1"/>
  <c r="W36" i="1"/>
  <c r="W472" i="1" s="1"/>
  <c r="X614" i="1"/>
  <c r="X615" i="1" s="1"/>
  <c r="X36" i="1" s="1"/>
  <c r="X472" i="1" s="1"/>
  <c r="Y614" i="1"/>
  <c r="Y615" i="1" s="1"/>
  <c r="Y36" i="1" s="1"/>
  <c r="Y448" i="1" s="1"/>
  <c r="V616" i="1"/>
  <c r="V74" i="1"/>
  <c r="W616" i="1"/>
  <c r="W37" i="1"/>
  <c r="W449" i="1" s="1"/>
  <c r="X616" i="1"/>
  <c r="X37" i="1"/>
  <c r="Y616" i="1"/>
  <c r="Y74" i="1"/>
  <c r="AK617" i="1"/>
  <c r="AL617" i="1" s="1"/>
  <c r="AK618" i="1"/>
  <c r="AL618" i="1"/>
  <c r="AK619" i="1"/>
  <c r="AL619" i="1" s="1"/>
  <c r="AK620" i="1"/>
  <c r="AL620" i="1"/>
  <c r="AK621" i="1"/>
  <c r="AL621" i="1" s="1"/>
  <c r="AK622" i="1"/>
  <c r="AL622" i="1"/>
  <c r="AK623" i="1"/>
  <c r="AL623" i="1" s="1"/>
  <c r="AK624" i="1"/>
  <c r="AL624" i="1"/>
  <c r="AK625" i="1"/>
  <c r="AL625" i="1" s="1"/>
  <c r="AK626" i="1"/>
  <c r="AL626" i="1"/>
  <c r="AK627" i="1"/>
  <c r="AL627" i="1" s="1"/>
  <c r="AK629" i="1"/>
  <c r="AL629" i="1"/>
  <c r="AK635" i="1"/>
  <c r="AL635" i="1" s="1"/>
  <c r="AK636" i="1"/>
  <c r="AL636" i="1"/>
  <c r="F637" i="1"/>
  <c r="F639" i="1"/>
  <c r="K639" i="1"/>
  <c r="L639" i="1"/>
  <c r="M639" i="1"/>
  <c r="O639" i="1"/>
  <c r="P639" i="1"/>
  <c r="Q639" i="1"/>
  <c r="S639" i="1"/>
  <c r="T639" i="1"/>
  <c r="U639" i="1"/>
  <c r="V639" i="1"/>
  <c r="W639" i="1"/>
  <c r="X639" i="1"/>
  <c r="Y639" i="1"/>
  <c r="Z639" i="1"/>
  <c r="AA639" i="1"/>
  <c r="AB639" i="1"/>
  <c r="AC639" i="1"/>
  <c r="AD639" i="1"/>
  <c r="AF639" i="1"/>
  <c r="AH639" i="1"/>
  <c r="AJ639" i="1"/>
  <c r="F640" i="1"/>
  <c r="K640" i="1"/>
  <c r="H640" i="1"/>
  <c r="I640" i="1"/>
  <c r="J640" i="1"/>
  <c r="L640" i="1"/>
  <c r="M640" i="1"/>
  <c r="O640" i="1"/>
  <c r="P640" i="1"/>
  <c r="Q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F640" i="1"/>
  <c r="AH640" i="1"/>
  <c r="AJ640" i="1"/>
  <c r="F641" i="1"/>
  <c r="N641" i="1"/>
  <c r="R641" i="1"/>
  <c r="AE641" i="1"/>
  <c r="AG641" i="1"/>
  <c r="AI641" i="1"/>
  <c r="AK643" i="1"/>
  <c r="AL643" i="1"/>
  <c r="AK644" i="1"/>
  <c r="AL644" i="1"/>
  <c r="AK645" i="1"/>
  <c r="AL645" i="1"/>
  <c r="AK646" i="1"/>
  <c r="AL646" i="1"/>
  <c r="L60" i="7"/>
  <c r="L56" i="7"/>
  <c r="L52" i="7"/>
  <c r="L46" i="7"/>
  <c r="L42" i="7"/>
  <c r="L36" i="7"/>
  <c r="L26" i="7"/>
  <c r="L22" i="7"/>
  <c r="L18" i="7"/>
  <c r="L14" i="7"/>
  <c r="L10" i="7"/>
  <c r="L62" i="7"/>
  <c r="L58" i="7"/>
  <c r="L54" i="7"/>
  <c r="L50" i="7"/>
  <c r="L44" i="7"/>
  <c r="L40" i="7"/>
  <c r="L38" i="7"/>
  <c r="L30" i="7"/>
  <c r="L28" i="7"/>
  <c r="L24" i="7"/>
  <c r="L20" i="7"/>
  <c r="L16" i="7"/>
  <c r="T1214" i="2"/>
  <c r="U1214" i="2" s="1"/>
  <c r="V1214" i="2" s="1"/>
  <c r="T1222" i="2"/>
  <c r="U1222" i="2" s="1"/>
  <c r="G827" i="2"/>
  <c r="G800" i="2"/>
  <c r="H827" i="2"/>
  <c r="H800" i="2"/>
  <c r="I827" i="2"/>
  <c r="I800" i="2"/>
  <c r="J827" i="2"/>
  <c r="J800" i="2"/>
  <c r="K827" i="2"/>
  <c r="K800" i="2"/>
  <c r="L827" i="2"/>
  <c r="L800" i="2"/>
  <c r="M800" i="2"/>
  <c r="M827" i="2"/>
  <c r="N827" i="2"/>
  <c r="N800" i="2"/>
  <c r="O800" i="2"/>
  <c r="O827" i="2"/>
  <c r="P827" i="2"/>
  <c r="P800" i="2"/>
  <c r="Q800" i="2"/>
  <c r="Q827" i="2"/>
  <c r="R827" i="2"/>
  <c r="R800" i="2"/>
  <c r="J413" i="1"/>
  <c r="I203" i="1"/>
  <c r="I194" i="1"/>
  <c r="I171" i="1"/>
  <c r="H203" i="1"/>
  <c r="H171" i="1"/>
  <c r="J153" i="1"/>
  <c r="I24" i="1"/>
  <c r="H24" i="1"/>
  <c r="D51" i="8"/>
  <c r="L1137" i="2"/>
  <c r="F10" i="7"/>
  <c r="F16" i="7"/>
  <c r="I370" i="1"/>
  <c r="J118" i="1"/>
  <c r="I118" i="1"/>
  <c r="F32" i="1"/>
  <c r="I20" i="1"/>
  <c r="AD43" i="1"/>
  <c r="AD248" i="1" s="1"/>
  <c r="AA38" i="1"/>
  <c r="AA474" i="1" s="1"/>
  <c r="Q30" i="1"/>
  <c r="N36" i="8"/>
  <c r="J175" i="1"/>
  <c r="D20" i="7"/>
  <c r="AC41" i="1"/>
  <c r="AC249" i="1" s="1"/>
  <c r="T1159" i="2"/>
  <c r="U1159" i="2"/>
  <c r="V1159" i="2" s="1"/>
  <c r="H425" i="1"/>
  <c r="J363" i="1"/>
  <c r="D24" i="7"/>
  <c r="J171" i="1"/>
  <c r="J160" i="1"/>
  <c r="J154" i="1"/>
  <c r="D16" i="7"/>
  <c r="M1125" i="2"/>
  <c r="N1120" i="2"/>
  <c r="G1125" i="2"/>
  <c r="D10" i="7"/>
  <c r="D36" i="7" s="1"/>
  <c r="D10" i="6"/>
  <c r="K1125" i="2"/>
  <c r="K1126" i="2" s="1"/>
  <c r="K1127" i="2" s="1"/>
  <c r="K1133" i="2" s="1"/>
  <c r="D18" i="6"/>
  <c r="D18" i="7"/>
  <c r="K36" i="8"/>
  <c r="I175" i="1"/>
  <c r="I154" i="1"/>
  <c r="M1119" i="2"/>
  <c r="M886" i="2" s="1"/>
  <c r="G36" i="8"/>
  <c r="M1113" i="2"/>
  <c r="D22" i="6"/>
  <c r="D22" i="7"/>
  <c r="I70" i="1"/>
  <c r="E24" i="6"/>
  <c r="E18" i="7"/>
  <c r="D26" i="7"/>
  <c r="J24" i="1"/>
  <c r="I361" i="1"/>
  <c r="J384" i="1"/>
  <c r="H426" i="1"/>
  <c r="M36" i="8"/>
  <c r="L1125" i="2"/>
  <c r="AF281" i="1"/>
  <c r="I201" i="1"/>
  <c r="O267" i="1"/>
  <c r="J49" i="26"/>
  <c r="P1121" i="2"/>
  <c r="P1122" i="2" s="1"/>
  <c r="P1152" i="2" s="1"/>
  <c r="P1176" i="2" s="1"/>
  <c r="N763" i="2"/>
  <c r="M763" i="2"/>
  <c r="N725" i="2"/>
  <c r="M725" i="2"/>
  <c r="J1121" i="2"/>
  <c r="C36" i="8"/>
  <c r="L16" i="8"/>
  <c r="L36" i="8"/>
  <c r="D19" i="8"/>
  <c r="D36" i="8"/>
  <c r="E19" i="8"/>
  <c r="E36" i="8"/>
  <c r="M1110" i="2"/>
  <c r="F654" i="2"/>
  <c r="F26" i="1"/>
  <c r="J20" i="1"/>
  <c r="T245" i="1"/>
  <c r="T263" i="1"/>
  <c r="H415" i="1"/>
  <c r="AH450" i="1"/>
  <c r="T268" i="1"/>
  <c r="O249" i="1"/>
  <c r="W267" i="1"/>
  <c r="V37" i="1"/>
  <c r="V265" i="1" s="1"/>
  <c r="H131" i="1"/>
  <c r="Y37" i="1"/>
  <c r="Y265" i="1" s="1"/>
  <c r="J403" i="1"/>
  <c r="I475" i="1"/>
  <c r="P451" i="1"/>
  <c r="I448" i="1"/>
  <c r="H182" i="1"/>
  <c r="J182" i="1"/>
  <c r="J203" i="1"/>
  <c r="J425" i="1"/>
  <c r="I160" i="1"/>
  <c r="U476" i="1"/>
  <c r="U473" i="1"/>
  <c r="Q472" i="1"/>
  <c r="L472" i="1"/>
  <c r="W471" i="1"/>
  <c r="Q471" i="1"/>
  <c r="L471" i="1"/>
  <c r="H471" i="1"/>
  <c r="H470" i="1"/>
  <c r="Q453" i="1"/>
  <c r="P268" i="1"/>
  <c r="P265" i="1"/>
  <c r="Z264" i="1"/>
  <c r="W263" i="1"/>
  <c r="Q263" i="1"/>
  <c r="L263" i="1"/>
  <c r="H263" i="1"/>
  <c r="Q262" i="1"/>
  <c r="L262" i="1"/>
  <c r="H262" i="1"/>
  <c r="W245" i="1"/>
  <c r="H245" i="1"/>
  <c r="F177" i="1"/>
  <c r="AA32" i="1"/>
  <c r="AA435" i="1" s="1"/>
  <c r="R884" i="2"/>
  <c r="N871" i="2"/>
  <c r="H1114" i="2"/>
  <c r="P888" i="2"/>
  <c r="J405" i="1"/>
  <c r="O29" i="1"/>
  <c r="F186" i="1"/>
  <c r="P29" i="1"/>
  <c r="H370" i="1"/>
  <c r="V579" i="1"/>
  <c r="M1339" i="2"/>
  <c r="M1340" i="2"/>
  <c r="M1338" i="2"/>
  <c r="N1126" i="2"/>
  <c r="N1127" i="2" s="1"/>
  <c r="N1130" i="2" s="1"/>
  <c r="I49" i="19"/>
  <c r="K1137" i="2"/>
  <c r="K1138" i="2" s="1"/>
  <c r="G665" i="2"/>
  <c r="Q1126" i="2"/>
  <c r="Q1127" i="2" s="1"/>
  <c r="G1126" i="2"/>
  <c r="AC665" i="1"/>
  <c r="M1225" i="2"/>
  <c r="R888" i="2"/>
  <c r="I49" i="20"/>
  <c r="I886" i="2"/>
  <c r="J49" i="25"/>
  <c r="N1137" i="2"/>
  <c r="N1138" i="2" s="1"/>
  <c r="J884" i="2"/>
  <c r="R885" i="2"/>
  <c r="N1162" i="2"/>
  <c r="I1162" i="2"/>
  <c r="O885" i="2"/>
  <c r="G1025" i="2"/>
  <c r="G1037" i="2" s="1"/>
  <c r="I1169" i="2"/>
  <c r="R886" i="2"/>
  <c r="R821" i="2"/>
  <c r="F927" i="2"/>
  <c r="R1143" i="2"/>
  <c r="Q821" i="2"/>
  <c r="H821" i="2"/>
  <c r="J886" i="2"/>
  <c r="H885" i="2"/>
  <c r="G821" i="2"/>
  <c r="P1169" i="2"/>
  <c r="R1162" i="2"/>
  <c r="M1162" i="2"/>
  <c r="H868" i="2"/>
  <c r="O869" i="2"/>
  <c r="Q1142" i="2"/>
  <c r="Q1143" i="2" s="1"/>
  <c r="G1148" i="2"/>
  <c r="J821" i="2"/>
  <c r="O868" i="2"/>
  <c r="Q1140" i="2"/>
  <c r="Q1138" i="2"/>
  <c r="G1162" i="2"/>
  <c r="O1225" i="2"/>
  <c r="L679" i="2"/>
  <c r="Q1162" i="2"/>
  <c r="F941" i="2"/>
  <c r="D10" i="10"/>
  <c r="P1128" i="2"/>
  <c r="Q1169" i="2"/>
  <c r="H1148" i="2"/>
  <c r="R1149" i="2"/>
  <c r="R1148" i="2"/>
  <c r="H869" i="2"/>
  <c r="H884" i="2"/>
  <c r="O871" i="2"/>
  <c r="R1138" i="2"/>
  <c r="R1140" i="2"/>
  <c r="Q1147" i="2"/>
  <c r="I821" i="2"/>
  <c r="I679" i="2"/>
  <c r="H870" i="2"/>
  <c r="H886" i="2"/>
  <c r="L1147" i="2"/>
  <c r="L1148" i="2" s="1"/>
  <c r="J1169" i="2"/>
  <c r="M870" i="2"/>
  <c r="M1147" i="2"/>
  <c r="F1037" i="2"/>
  <c r="G1141" i="2"/>
  <c r="G1142" i="2" s="1"/>
  <c r="G1143" i="2" s="1"/>
  <c r="N1141" i="2"/>
  <c r="N1140" i="2"/>
  <c r="M1148" i="2"/>
  <c r="F24" i="6"/>
  <c r="K1121" i="2"/>
  <c r="F49" i="19"/>
  <c r="H363" i="1"/>
  <c r="J1125" i="2"/>
  <c r="K1122" i="2"/>
  <c r="K1152" i="2" s="1"/>
  <c r="K1176" i="2" s="1"/>
  <c r="F301" i="1"/>
  <c r="AA268" i="1"/>
  <c r="J201" i="1"/>
  <c r="J193" i="1"/>
  <c r="H193" i="1"/>
  <c r="J383" i="1"/>
  <c r="J173" i="1" s="1"/>
  <c r="G481" i="1"/>
  <c r="G483" i="1"/>
  <c r="G485" i="1" s="1"/>
  <c r="F631" i="1"/>
  <c r="Z263" i="1"/>
  <c r="K262" i="1"/>
  <c r="P244" i="1"/>
  <c r="X74" i="1"/>
  <c r="I383" i="1"/>
  <c r="F206" i="1"/>
  <c r="H100" i="1"/>
  <c r="F387" i="1"/>
  <c r="H361" i="1"/>
  <c r="H151" i="1" s="1"/>
  <c r="J100" i="1"/>
  <c r="AA476" i="1"/>
  <c r="AH266" i="1"/>
  <c r="W448" i="1"/>
  <c r="I414" i="1"/>
  <c r="W74" i="1"/>
  <c r="J414" i="1"/>
  <c r="I204" i="1"/>
  <c r="H202" i="1"/>
  <c r="M453" i="1"/>
  <c r="S451" i="1"/>
  <c r="M450" i="1"/>
  <c r="J448" i="1"/>
  <c r="S237" i="1"/>
  <c r="J174" i="1"/>
  <c r="S450" i="1"/>
  <c r="AK616" i="1"/>
  <c r="AL616" i="1" s="1"/>
  <c r="H98" i="1"/>
  <c r="Q71" i="1"/>
  <c r="I98" i="1"/>
  <c r="W268" i="1"/>
  <c r="J204" i="1"/>
  <c r="W476" i="1"/>
  <c r="F630" i="1"/>
  <c r="F197" i="1"/>
  <c r="I142" i="1"/>
  <c r="H174" i="1"/>
  <c r="S453" i="1"/>
  <c r="I453" i="1"/>
  <c r="J202" i="1"/>
  <c r="F1129" i="2"/>
  <c r="Q1139" i="2" s="1"/>
  <c r="F1139" i="2"/>
  <c r="F45" i="1"/>
  <c r="L251" i="1"/>
  <c r="L450" i="1"/>
  <c r="H251" i="1"/>
  <c r="Z476" i="1"/>
  <c r="AB474" i="1"/>
  <c r="V474" i="1"/>
  <c r="L266" i="1"/>
  <c r="AF449" i="1"/>
  <c r="AA449" i="1"/>
  <c r="S473" i="1"/>
  <c r="M449" i="1"/>
  <c r="AB637" i="1"/>
  <c r="AB141" i="1" s="1"/>
  <c r="O472" i="1"/>
  <c r="AJ447" i="1"/>
  <c r="AJ471" i="1"/>
  <c r="O471" i="1"/>
  <c r="F633" i="1"/>
  <c r="AJ26" i="1"/>
  <c r="AJ567" i="1" s="1"/>
  <c r="I391" i="1"/>
  <c r="F632" i="1"/>
  <c r="F396" i="1"/>
  <c r="H362" i="1"/>
  <c r="I362" i="1"/>
  <c r="I152" i="1" s="1"/>
  <c r="F628" i="1"/>
  <c r="J218" i="1"/>
  <c r="I218" i="1"/>
  <c r="I172" i="1"/>
  <c r="H172" i="1"/>
  <c r="J172" i="1"/>
  <c r="I153" i="1"/>
  <c r="H153" i="1"/>
  <c r="F156" i="1"/>
  <c r="F326" i="1"/>
  <c r="O133" i="1"/>
  <c r="P133" i="1"/>
  <c r="Q133" i="1"/>
  <c r="I131" i="1"/>
  <c r="J131" i="1"/>
  <c r="J70" i="1"/>
  <c r="H70" i="1"/>
  <c r="AJ248" i="1"/>
  <c r="AJ475" i="1"/>
  <c r="X267" i="1"/>
  <c r="X475" i="1"/>
  <c r="F366" i="1"/>
  <c r="F208" i="1"/>
  <c r="W665" i="1"/>
  <c r="H639" i="1"/>
  <c r="J415" i="1"/>
  <c r="AD26" i="1"/>
  <c r="AD569" i="1" s="1"/>
  <c r="J16" i="1"/>
  <c r="S570" i="1"/>
  <c r="F428" i="1"/>
  <c r="AA39" i="1"/>
  <c r="I16" i="1"/>
  <c r="S238" i="1"/>
  <c r="F583" i="1"/>
  <c r="I413" i="1"/>
  <c r="AF490" i="1"/>
  <c r="F494" i="1"/>
  <c r="I268" i="1"/>
  <c r="X266" i="1"/>
  <c r="X474" i="1"/>
  <c r="I449" i="1"/>
  <c r="AH264" i="1"/>
  <c r="AH472" i="1"/>
  <c r="AH246" i="1"/>
  <c r="F576" i="1"/>
  <c r="F417" i="1"/>
  <c r="J412" i="1"/>
  <c r="I412" i="1"/>
  <c r="H412" i="1"/>
  <c r="H404" i="1"/>
  <c r="I404" i="1"/>
  <c r="J404" i="1"/>
  <c r="F407" i="1"/>
  <c r="F188" i="1"/>
  <c r="F442" i="1"/>
  <c r="F509" i="1"/>
  <c r="AH497" i="1"/>
  <c r="P132" i="1"/>
  <c r="O132" i="1"/>
  <c r="F138" i="1"/>
  <c r="Q132" i="1"/>
  <c r="T665" i="1"/>
  <c r="O124" i="1"/>
  <c r="Q124" i="1"/>
  <c r="H474" i="1"/>
  <c r="AC246" i="1"/>
  <c r="AC264" i="1"/>
  <c r="U246" i="1"/>
  <c r="U448" i="1"/>
  <c r="U472" i="1"/>
  <c r="S230" i="1"/>
  <c r="K435" i="1"/>
  <c r="F240" i="1"/>
  <c r="I405" i="1"/>
  <c r="H405" i="1"/>
  <c r="H401" i="1"/>
  <c r="I401" i="1"/>
  <c r="H391" i="1"/>
  <c r="J391" i="1"/>
  <c r="H181" i="1"/>
  <c r="J181" i="1"/>
  <c r="O71" i="1"/>
  <c r="F76" i="1"/>
  <c r="F93" i="1" s="1"/>
  <c r="T450" i="1"/>
  <c r="T453" i="1"/>
  <c r="O247" i="1"/>
  <c r="O265" i="1"/>
  <c r="M264" i="1"/>
  <c r="F634" i="1"/>
  <c r="F479" i="1"/>
  <c r="F481" i="1" s="1"/>
  <c r="F457" i="1"/>
  <c r="H384" i="1"/>
  <c r="I384" i="1"/>
  <c r="T248" i="1"/>
  <c r="AJ245" i="1"/>
  <c r="AJ263" i="1"/>
  <c r="AJ262" i="1"/>
  <c r="AD244" i="1"/>
  <c r="AD245" i="1"/>
  <c r="AD262" i="1"/>
  <c r="AD263" i="1"/>
  <c r="Z244" i="1"/>
  <c r="Z446" i="1"/>
  <c r="Z447" i="1"/>
  <c r="Q244" i="1"/>
  <c r="Q446" i="1"/>
  <c r="M471" i="1"/>
  <c r="M447" i="1"/>
  <c r="O30" i="1"/>
  <c r="P30" i="1"/>
  <c r="W417" i="1"/>
  <c r="J401" i="1"/>
  <c r="F271" i="1"/>
  <c r="S434" i="1"/>
  <c r="I426" i="1"/>
  <c r="V615" i="1"/>
  <c r="AK615" i="1" s="1"/>
  <c r="AK614" i="1"/>
  <c r="AL614" i="1"/>
  <c r="T471" i="1"/>
  <c r="T244" i="1"/>
  <c r="I231" i="1"/>
  <c r="F375" i="1"/>
  <c r="F220" i="1"/>
  <c r="V471" i="1"/>
  <c r="O453" i="1"/>
  <c r="AF451" i="1"/>
  <c r="AJ449" i="1"/>
  <c r="AC447" i="1"/>
  <c r="H447" i="1"/>
  <c r="AJ267" i="1"/>
  <c r="T265" i="1"/>
  <c r="V263" i="1"/>
  <c r="AJ247" i="1"/>
  <c r="AA264" i="1"/>
  <c r="O264" i="1"/>
  <c r="V262" i="1"/>
  <c r="V245" i="1"/>
  <c r="F595" i="1"/>
  <c r="AH433" i="1"/>
  <c r="AH570" i="1"/>
  <c r="AH432" i="1"/>
  <c r="F398" i="1"/>
  <c r="I439" i="1"/>
  <c r="I434" i="1"/>
  <c r="I432" i="1"/>
  <c r="F419" i="1"/>
  <c r="AL615" i="1"/>
  <c r="V36" i="1"/>
  <c r="F483" i="1"/>
  <c r="F377" i="1"/>
  <c r="F421" i="1" s="1"/>
  <c r="F485" i="1"/>
  <c r="Y665" i="1"/>
  <c r="X665" i="1"/>
  <c r="Q632" i="1"/>
  <c r="Q390" i="1" s="1"/>
  <c r="Q396" i="1" s="1"/>
  <c r="Q180" i="1" s="1"/>
  <c r="Q186" i="1" s="1"/>
  <c r="L1126" i="2"/>
  <c r="L1127" i="2" s="1"/>
  <c r="L888" i="2"/>
  <c r="H403" i="1"/>
  <c r="I403" i="1"/>
  <c r="H217" i="1"/>
  <c r="AF280" i="1"/>
  <c r="J217" i="1"/>
  <c r="F165" i="1"/>
  <c r="F167" i="1" s="1"/>
  <c r="F210" i="1" s="1"/>
  <c r="F222" i="1" s="1"/>
  <c r="D14" i="6"/>
  <c r="I1125" i="2"/>
  <c r="I867" i="2" s="1"/>
  <c r="D3" i="10"/>
  <c r="I1126" i="2"/>
  <c r="I1127" i="2" s="1"/>
  <c r="I888" i="2"/>
  <c r="AH448" i="1" l="1"/>
  <c r="I473" i="1"/>
  <c r="AJ446" i="1"/>
  <c r="M265" i="1"/>
  <c r="AF247" i="1"/>
  <c r="Q266" i="1"/>
  <c r="W451" i="1"/>
  <c r="AH451" i="1"/>
  <c r="AA451" i="1"/>
  <c r="Q450" i="1"/>
  <c r="AH641" i="1"/>
  <c r="AH216" i="1" s="1"/>
  <c r="I494" i="1"/>
  <c r="AD665" i="1"/>
  <c r="AJ244" i="1"/>
  <c r="I265" i="1"/>
  <c r="U245" i="1"/>
  <c r="J264" i="1"/>
  <c r="M247" i="1"/>
  <c r="S265" i="1"/>
  <c r="AF265" i="1"/>
  <c r="H453" i="1"/>
  <c r="S449" i="1"/>
  <c r="AH476" i="1"/>
  <c r="AH268" i="1"/>
  <c r="AH206" i="1"/>
  <c r="S637" i="1"/>
  <c r="S141" i="1" s="1"/>
  <c r="T631" i="1"/>
  <c r="T380" i="1" s="1"/>
  <c r="T387" i="1" s="1"/>
  <c r="T170" i="1" s="1"/>
  <c r="T177" i="1" s="1"/>
  <c r="X494" i="1"/>
  <c r="AD494" i="1"/>
  <c r="U26" i="1"/>
  <c r="U568" i="1" s="1"/>
  <c r="I238" i="1"/>
  <c r="AH434" i="1"/>
  <c r="Y449" i="1"/>
  <c r="X264" i="1"/>
  <c r="AA231" i="1"/>
  <c r="U470" i="1"/>
  <c r="O446" i="1"/>
  <c r="AK381" i="1"/>
  <c r="AL381" i="1" s="1"/>
  <c r="W628" i="1"/>
  <c r="W359" i="1" s="1"/>
  <c r="W366" i="1" s="1"/>
  <c r="W655" i="1" s="1"/>
  <c r="AK293" i="1"/>
  <c r="AL293" i="1" s="1"/>
  <c r="H301" i="1"/>
  <c r="P251" i="1"/>
  <c r="AK70" i="1"/>
  <c r="AL70" i="1" s="1"/>
  <c r="P509" i="1"/>
  <c r="Y494" i="1"/>
  <c r="Y473" i="1"/>
  <c r="S246" i="1"/>
  <c r="M637" i="1"/>
  <c r="M141" i="1" s="1"/>
  <c r="M632" i="1"/>
  <c r="M390" i="1" s="1"/>
  <c r="M396" i="1" s="1"/>
  <c r="AJ632" i="1"/>
  <c r="AJ390" i="1" s="1"/>
  <c r="AJ396" i="1" s="1"/>
  <c r="AJ180" i="1" s="1"/>
  <c r="AJ186" i="1" s="1"/>
  <c r="AB630" i="1"/>
  <c r="AB369" i="1" s="1"/>
  <c r="AB375" i="1" s="1"/>
  <c r="AB159" i="1" s="1"/>
  <c r="AB165" i="1" s="1"/>
  <c r="Z262" i="1"/>
  <c r="Y237" i="1"/>
  <c r="Y433" i="1"/>
  <c r="Y650" i="1"/>
  <c r="Y570" i="1"/>
  <c r="Y432" i="1"/>
  <c r="Y571" i="1"/>
  <c r="Y437" i="1"/>
  <c r="Y440" i="1"/>
  <c r="M237" i="1"/>
  <c r="M580" i="1"/>
  <c r="M438" i="1"/>
  <c r="V494" i="1"/>
  <c r="AD568" i="1"/>
  <c r="V268" i="1"/>
  <c r="AD251" i="1"/>
  <c r="S438" i="1"/>
  <c r="AA266" i="1"/>
  <c r="O263" i="1"/>
  <c r="U244" i="1"/>
  <c r="Y263" i="1"/>
  <c r="Y471" i="1"/>
  <c r="AD407" i="1"/>
  <c r="AD191" i="1" s="1"/>
  <c r="AD197" i="1" s="1"/>
  <c r="L407" i="1"/>
  <c r="L191" i="1" s="1"/>
  <c r="L197" i="1" s="1"/>
  <c r="AB407" i="1"/>
  <c r="AB659" i="1" s="1"/>
  <c r="AK382" i="1"/>
  <c r="AL382" i="1" s="1"/>
  <c r="U631" i="1"/>
  <c r="U380" i="1" s="1"/>
  <c r="U387" i="1" s="1"/>
  <c r="U657" i="1" s="1"/>
  <c r="AA630" i="1"/>
  <c r="AA369" i="1" s="1"/>
  <c r="AA375" i="1" s="1"/>
  <c r="AA159" i="1" s="1"/>
  <c r="AA165" i="1" s="1"/>
  <c r="P630" i="1"/>
  <c r="P369" i="1" s="1"/>
  <c r="P375" i="1" s="1"/>
  <c r="P656" i="1" s="1"/>
  <c r="Z301" i="1"/>
  <c r="S301" i="1"/>
  <c r="Y301" i="1"/>
  <c r="AK284" i="1"/>
  <c r="AL284" i="1" s="1"/>
  <c r="T286" i="1"/>
  <c r="J286" i="1"/>
  <c r="AD567" i="1"/>
  <c r="I437" i="1"/>
  <c r="I440" i="1"/>
  <c r="AH437" i="1"/>
  <c r="AH439" i="1"/>
  <c r="AF268" i="1"/>
  <c r="AC450" i="1"/>
  <c r="M470" i="1"/>
  <c r="I246" i="1"/>
  <c r="AH101" i="1"/>
  <c r="AD474" i="1"/>
  <c r="AB248" i="1"/>
  <c r="S101" i="1"/>
  <c r="O244" i="1"/>
  <c r="S231" i="1"/>
  <c r="O262" i="1"/>
  <c r="U471" i="1"/>
  <c r="Y244" i="1"/>
  <c r="V476" i="1"/>
  <c r="AF476" i="1"/>
  <c r="S102" i="1"/>
  <c r="S437" i="1"/>
  <c r="U265" i="1"/>
  <c r="Z472" i="1"/>
  <c r="AB446" i="1"/>
  <c r="U451" i="1"/>
  <c r="K268" i="1"/>
  <c r="P449" i="1"/>
  <c r="Q448" i="1"/>
  <c r="M417" i="1"/>
  <c r="AA628" i="1"/>
  <c r="AA359" i="1" s="1"/>
  <c r="AA366" i="1" s="1"/>
  <c r="AF301" i="1"/>
  <c r="I301" i="1"/>
  <c r="T301" i="1"/>
  <c r="AK289" i="1"/>
  <c r="AL289" i="1" s="1"/>
  <c r="W286" i="1"/>
  <c r="AC286" i="1"/>
  <c r="K509" i="1"/>
  <c r="H494" i="1"/>
  <c r="I637" i="1"/>
  <c r="I141" i="1" s="1"/>
  <c r="M246" i="1"/>
  <c r="S440" i="1"/>
  <c r="AA637" i="1"/>
  <c r="AA141" i="1" s="1"/>
  <c r="S571" i="1"/>
  <c r="S435" i="1"/>
  <c r="I264" i="1"/>
  <c r="U475" i="1"/>
  <c r="AC453" i="1"/>
  <c r="P417" i="1"/>
  <c r="Z407" i="1"/>
  <c r="Z191" i="1" s="1"/>
  <c r="Z197" i="1" s="1"/>
  <c r="O632" i="1"/>
  <c r="O390" i="1" s="1"/>
  <c r="O396" i="1" s="1"/>
  <c r="AF630" i="1"/>
  <c r="AF369" i="1" s="1"/>
  <c r="AF375" i="1" s="1"/>
  <c r="AF656" i="1" s="1"/>
  <c r="Z628" i="1"/>
  <c r="Z359" i="1" s="1"/>
  <c r="Z366" i="1" s="1"/>
  <c r="Z149" i="1" s="1"/>
  <c r="Z156" i="1" s="1"/>
  <c r="X301" i="1"/>
  <c r="AJ286" i="1"/>
  <c r="L286" i="1"/>
  <c r="AJ32" i="1"/>
  <c r="AJ237" i="1" s="1"/>
  <c r="AD435" i="1"/>
  <c r="I570" i="1"/>
  <c r="I237" i="1"/>
  <c r="V451" i="1"/>
  <c r="Q473" i="1"/>
  <c r="H631" i="1"/>
  <c r="H380" i="1" s="1"/>
  <c r="H387" i="1" s="1"/>
  <c r="M472" i="1"/>
  <c r="S580" i="1"/>
  <c r="U637" i="1"/>
  <c r="U141" i="1" s="1"/>
  <c r="S433" i="1"/>
  <c r="S650" i="1"/>
  <c r="AB475" i="1"/>
  <c r="U262" i="1"/>
  <c r="Y447" i="1"/>
  <c r="K475" i="1"/>
  <c r="Q264" i="1"/>
  <c r="AC265" i="1"/>
  <c r="P473" i="1"/>
  <c r="U268" i="1"/>
  <c r="K476" i="1"/>
  <c r="AK281" i="1"/>
  <c r="AL281" i="1" s="1"/>
  <c r="AC641" i="1"/>
  <c r="AC216" i="1" s="1"/>
  <c r="U641" i="1"/>
  <c r="U214" i="1" s="1"/>
  <c r="Q494" i="1"/>
  <c r="U248" i="1"/>
  <c r="Y206" i="1"/>
  <c r="U206" i="1"/>
  <c r="AF206" i="1"/>
  <c r="W206" i="1"/>
  <c r="S206" i="1"/>
  <c r="M206" i="1"/>
  <c r="AK124" i="1"/>
  <c r="AL124" i="1" s="1"/>
  <c r="AA149" i="1"/>
  <c r="AA156" i="1" s="1"/>
  <c r="AA655" i="1"/>
  <c r="M301" i="1"/>
  <c r="AK292" i="1"/>
  <c r="AL292" i="1" s="1"/>
  <c r="AJ301" i="1"/>
  <c r="O301" i="1"/>
  <c r="AK500" i="1"/>
  <c r="AL500" i="1" s="1"/>
  <c r="T417" i="1"/>
  <c r="AK297" i="1"/>
  <c r="AL297" i="1" s="1"/>
  <c r="AK217" i="1"/>
  <c r="AL217" i="1" s="1"/>
  <c r="AA439" i="1"/>
  <c r="J266" i="1"/>
  <c r="AK491" i="1"/>
  <c r="AL491" i="1" s="1"/>
  <c r="AK394" i="1"/>
  <c r="AL394" i="1" s="1"/>
  <c r="Y632" i="1"/>
  <c r="Y390" i="1" s="1"/>
  <c r="Y396" i="1" s="1"/>
  <c r="Y658" i="1" s="1"/>
  <c r="AC631" i="1"/>
  <c r="AC380" i="1" s="1"/>
  <c r="AC387" i="1" s="1"/>
  <c r="AC170" i="1" s="1"/>
  <c r="AC177" i="1" s="1"/>
  <c r="AK372" i="1"/>
  <c r="AL372" i="1" s="1"/>
  <c r="AK295" i="1"/>
  <c r="AL295" i="1" s="1"/>
  <c r="AK291" i="1"/>
  <c r="AL291" i="1" s="1"/>
  <c r="AC301" i="1"/>
  <c r="AA434" i="1"/>
  <c r="AA101" i="1"/>
  <c r="AA436" i="1"/>
  <c r="AA440" i="1"/>
  <c r="AF286" i="1"/>
  <c r="AA102" i="1"/>
  <c r="AA570" i="1"/>
  <c r="AA45" i="1"/>
  <c r="AA481" i="1" s="1"/>
  <c r="AA432" i="1"/>
  <c r="O494" i="1"/>
  <c r="L417" i="1"/>
  <c r="AJ417" i="1"/>
  <c r="AC417" i="1"/>
  <c r="K417" i="1"/>
  <c r="Q407" i="1"/>
  <c r="V631" i="1"/>
  <c r="V380" i="1" s="1"/>
  <c r="V387" i="1" s="1"/>
  <c r="V170" i="1" s="1"/>
  <c r="V177" i="1" s="1"/>
  <c r="L631" i="1"/>
  <c r="L380" i="1" s="1"/>
  <c r="L387" i="1" s="1"/>
  <c r="L657" i="1" s="1"/>
  <c r="T206" i="1"/>
  <c r="U424" i="1"/>
  <c r="U428" i="1" s="1"/>
  <c r="M658" i="1"/>
  <c r="M180" i="1"/>
  <c r="M186" i="1" s="1"/>
  <c r="T657" i="1"/>
  <c r="AK507" i="1"/>
  <c r="AL507" i="1" s="1"/>
  <c r="S509" i="1"/>
  <c r="T509" i="1"/>
  <c r="U632" i="1"/>
  <c r="U390" i="1" s="1"/>
  <c r="U396" i="1" s="1"/>
  <c r="U398" i="1" s="1"/>
  <c r="U628" i="1"/>
  <c r="U359" i="1" s="1"/>
  <c r="U366" i="1" s="1"/>
  <c r="U149" i="1" s="1"/>
  <c r="U156" i="1" s="1"/>
  <c r="AK294" i="1"/>
  <c r="AL294" i="1" s="1"/>
  <c r="AB301" i="1"/>
  <c r="AK290" i="1"/>
  <c r="AL290" i="1" s="1"/>
  <c r="U301" i="1"/>
  <c r="P301" i="1"/>
  <c r="AK192" i="1"/>
  <c r="AL192" i="1" s="1"/>
  <c r="AK174" i="1"/>
  <c r="AL174" i="1" s="1"/>
  <c r="AK38" i="1"/>
  <c r="AL38" i="1" s="1"/>
  <c r="AK202" i="1"/>
  <c r="AL202" i="1" s="1"/>
  <c r="AJ658" i="1"/>
  <c r="AJ509" i="1"/>
  <c r="W301" i="1"/>
  <c r="AK414" i="1"/>
  <c r="AL414" i="1" s="1"/>
  <c r="H472" i="1"/>
  <c r="H246" i="1"/>
  <c r="AA262" i="1"/>
  <c r="AA471" i="1"/>
  <c r="X470" i="1"/>
  <c r="X447" i="1"/>
  <c r="S447" i="1"/>
  <c r="S470" i="1"/>
  <c r="M446" i="1"/>
  <c r="M245" i="1"/>
  <c r="I245" i="1"/>
  <c r="I263" i="1"/>
  <c r="I447" i="1"/>
  <c r="AJ231" i="1"/>
  <c r="Y231" i="1"/>
  <c r="Y439" i="1"/>
  <c r="Y238" i="1"/>
  <c r="Y580" i="1"/>
  <c r="Y436" i="1"/>
  <c r="I650" i="1"/>
  <c r="I571" i="1"/>
  <c r="I436" i="1"/>
  <c r="I230" i="1"/>
  <c r="I102" i="1"/>
  <c r="I101" i="1"/>
  <c r="AH571" i="1"/>
  <c r="AH231" i="1"/>
  <c r="AH237" i="1"/>
  <c r="AH438" i="1"/>
  <c r="K230" i="1"/>
  <c r="K238" i="1"/>
  <c r="M440" i="1"/>
  <c r="I435" i="1"/>
  <c r="I438" i="1"/>
  <c r="I433" i="1"/>
  <c r="AH102" i="1"/>
  <c r="AH440" i="1"/>
  <c r="AH435" i="1"/>
  <c r="I431" i="1"/>
  <c r="Y434" i="1"/>
  <c r="AK426" i="1"/>
  <c r="AL426" i="1" s="1"/>
  <c r="M262" i="1"/>
  <c r="Y438" i="1"/>
  <c r="H632" i="1"/>
  <c r="H390" i="1" s="1"/>
  <c r="H396" i="1" s="1"/>
  <c r="AH580" i="1"/>
  <c r="X432" i="1"/>
  <c r="AK413" i="1"/>
  <c r="AL413" i="1" s="1"/>
  <c r="J26" i="1"/>
  <c r="W246" i="1"/>
  <c r="AA245" i="1"/>
  <c r="I446" i="1"/>
  <c r="J206" i="1"/>
  <c r="T494" i="1"/>
  <c r="Y417" i="1"/>
  <c r="U417" i="1"/>
  <c r="AF407" i="1"/>
  <c r="W407" i="1"/>
  <c r="V407" i="1"/>
  <c r="V191" i="1" s="1"/>
  <c r="V197" i="1" s="1"/>
  <c r="AD631" i="1"/>
  <c r="AD380" i="1" s="1"/>
  <c r="AD387" i="1" s="1"/>
  <c r="AD657" i="1" s="1"/>
  <c r="AD630" i="1"/>
  <c r="AD369" i="1" s="1"/>
  <c r="AD375" i="1" s="1"/>
  <c r="V630" i="1"/>
  <c r="V369" i="1" s="1"/>
  <c r="V375" i="1" s="1"/>
  <c r="V656" i="1" s="1"/>
  <c r="Q630" i="1"/>
  <c r="Q369" i="1" s="1"/>
  <c r="Q375" i="1" s="1"/>
  <c r="AD628" i="1"/>
  <c r="AD359" i="1" s="1"/>
  <c r="AD366" i="1" s="1"/>
  <c r="AD149" i="1" s="1"/>
  <c r="AD156" i="1" s="1"/>
  <c r="V628" i="1"/>
  <c r="V359" i="1" s="1"/>
  <c r="V366" i="1" s="1"/>
  <c r="L301" i="1"/>
  <c r="AB472" i="1"/>
  <c r="AB246" i="1"/>
  <c r="AB264" i="1"/>
  <c r="Z417" i="1"/>
  <c r="Q417" i="1"/>
  <c r="X417" i="1"/>
  <c r="AF417" i="1"/>
  <c r="AA417" i="1"/>
  <c r="AJ407" i="1"/>
  <c r="Y407" i="1"/>
  <c r="Y191" i="1" s="1"/>
  <c r="Y197" i="1" s="1"/>
  <c r="Y208" i="1" s="1"/>
  <c r="P407" i="1"/>
  <c r="AA407" i="1"/>
  <c r="S407" i="1"/>
  <c r="S659" i="1" s="1"/>
  <c r="AH407" i="1"/>
  <c r="AH191" i="1" s="1"/>
  <c r="AH197" i="1" s="1"/>
  <c r="AH208" i="1" s="1"/>
  <c r="T407" i="1"/>
  <c r="O407" i="1"/>
  <c r="O659" i="1" s="1"/>
  <c r="AD632" i="1"/>
  <c r="AD390" i="1" s="1"/>
  <c r="AD396" i="1" s="1"/>
  <c r="Z632" i="1"/>
  <c r="Z390" i="1" s="1"/>
  <c r="Z396" i="1" s="1"/>
  <c r="Z180" i="1" s="1"/>
  <c r="Z186" i="1" s="1"/>
  <c r="L632" i="1"/>
  <c r="L390" i="1" s="1"/>
  <c r="L396" i="1" s="1"/>
  <c r="K632" i="1"/>
  <c r="K390" i="1" s="1"/>
  <c r="K396" i="1" s="1"/>
  <c r="AA632" i="1"/>
  <c r="AA390" i="1" s="1"/>
  <c r="AA396" i="1" s="1"/>
  <c r="S632" i="1"/>
  <c r="S390" i="1" s="1"/>
  <c r="S396" i="1" s="1"/>
  <c r="S658" i="1" s="1"/>
  <c r="AK393" i="1"/>
  <c r="AL393" i="1" s="1"/>
  <c r="AA631" i="1"/>
  <c r="AA380" i="1" s="1"/>
  <c r="AA387" i="1" s="1"/>
  <c r="W631" i="1"/>
  <c r="W380" i="1" s="1"/>
  <c r="W387" i="1" s="1"/>
  <c r="S631" i="1"/>
  <c r="S380" i="1" s="1"/>
  <c r="S387" i="1" s="1"/>
  <c r="M631" i="1"/>
  <c r="M380" i="1" s="1"/>
  <c r="M387" i="1" s="1"/>
  <c r="Y631" i="1"/>
  <c r="Y380" i="1" s="1"/>
  <c r="Y387" i="1" s="1"/>
  <c r="P631" i="1"/>
  <c r="P380" i="1" s="1"/>
  <c r="P387" i="1" s="1"/>
  <c r="O631" i="1"/>
  <c r="O380" i="1" s="1"/>
  <c r="O387" i="1" s="1"/>
  <c r="O170" i="1" s="1"/>
  <c r="O177" i="1" s="1"/>
  <c r="Y630" i="1"/>
  <c r="Y369" i="1" s="1"/>
  <c r="Y375" i="1" s="1"/>
  <c r="Y159" i="1" s="1"/>
  <c r="Y165" i="1" s="1"/>
  <c r="Z630" i="1"/>
  <c r="Z369" i="1" s="1"/>
  <c r="Z375" i="1" s="1"/>
  <c r="L630" i="1"/>
  <c r="L369" i="1" s="1"/>
  <c r="L375" i="1" s="1"/>
  <c r="S630" i="1"/>
  <c r="S369" i="1" s="1"/>
  <c r="S375" i="1" s="1"/>
  <c r="S656" i="1" s="1"/>
  <c r="M630" i="1"/>
  <c r="M369" i="1" s="1"/>
  <c r="M375" i="1" s="1"/>
  <c r="M159" i="1" s="1"/>
  <c r="M165" i="1" s="1"/>
  <c r="AK371" i="1"/>
  <c r="AL371" i="1" s="1"/>
  <c r="X630" i="1"/>
  <c r="X369" i="1" s="1"/>
  <c r="X375" i="1" s="1"/>
  <c r="X656" i="1" s="1"/>
  <c r="T630" i="1"/>
  <c r="T369" i="1" s="1"/>
  <c r="T375" i="1" s="1"/>
  <c r="T159" i="1" s="1"/>
  <c r="J630" i="1"/>
  <c r="J369" i="1" s="1"/>
  <c r="J375" i="1" s="1"/>
  <c r="J159" i="1" s="1"/>
  <c r="J165" i="1" s="1"/>
  <c r="AF628" i="1"/>
  <c r="AF359" i="1" s="1"/>
  <c r="AF366" i="1" s="1"/>
  <c r="M628" i="1"/>
  <c r="M359" i="1" s="1"/>
  <c r="M366" i="1" s="1"/>
  <c r="AJ628" i="1"/>
  <c r="AJ359" i="1" s="1"/>
  <c r="AJ366" i="1" s="1"/>
  <c r="AC628" i="1"/>
  <c r="AC359" i="1" s="1"/>
  <c r="AC366" i="1" s="1"/>
  <c r="AC655" i="1" s="1"/>
  <c r="Y628" i="1"/>
  <c r="Y359" i="1" s="1"/>
  <c r="Y366" i="1" s="1"/>
  <c r="P628" i="1"/>
  <c r="P359" i="1" s="1"/>
  <c r="P366" i="1" s="1"/>
  <c r="AH628" i="1"/>
  <c r="AH359" i="1" s="1"/>
  <c r="AH366" i="1" s="1"/>
  <c r="AH149" i="1" s="1"/>
  <c r="AH156" i="1" s="1"/>
  <c r="X628" i="1"/>
  <c r="X359" i="1" s="1"/>
  <c r="X366" i="1" s="1"/>
  <c r="X655" i="1" s="1"/>
  <c r="AK360" i="1"/>
  <c r="AL360" i="1" s="1"/>
  <c r="J301" i="1"/>
  <c r="Q301" i="1"/>
  <c r="AA301" i="1"/>
  <c r="S286" i="1"/>
  <c r="AK283" i="1"/>
  <c r="AL283" i="1" s="1"/>
  <c r="P286" i="1"/>
  <c r="AK401" i="1"/>
  <c r="AL401" i="1" s="1"/>
  <c r="Y637" i="1"/>
  <c r="Y141" i="1" s="1"/>
  <c r="AK404" i="1"/>
  <c r="AL404" i="1" s="1"/>
  <c r="J417" i="1"/>
  <c r="AA641" i="1"/>
  <c r="T641" i="1"/>
  <c r="Q628" i="1"/>
  <c r="Q359" i="1" s="1"/>
  <c r="Q366" i="1" s="1"/>
  <c r="Q377" i="1" s="1"/>
  <c r="AF251" i="1"/>
  <c r="AF450" i="1"/>
  <c r="AF453" i="1"/>
  <c r="AD436" i="1"/>
  <c r="AD237" i="1"/>
  <c r="AK172" i="1"/>
  <c r="AL172" i="1" s="1"/>
  <c r="I173" i="1"/>
  <c r="K173" i="1" s="1"/>
  <c r="AK173" i="1" s="1"/>
  <c r="AL173" i="1" s="1"/>
  <c r="AK383" i="1"/>
  <c r="AL383" i="1" s="1"/>
  <c r="V264" i="1"/>
  <c r="V472" i="1"/>
  <c r="V637" i="1"/>
  <c r="V141" i="1" s="1"/>
  <c r="AD206" i="1"/>
  <c r="AF248" i="1"/>
  <c r="AF475" i="1"/>
  <c r="AF267" i="1"/>
  <c r="L267" i="1"/>
  <c r="L248" i="1"/>
  <c r="Z251" i="1"/>
  <c r="Z450" i="1"/>
  <c r="L268" i="1"/>
  <c r="L451" i="1"/>
  <c r="Q45" i="1"/>
  <c r="Z474" i="1"/>
  <c r="Z45" i="1"/>
  <c r="Z61" i="1" s="1"/>
  <c r="Z266" i="1"/>
  <c r="AF244" i="1"/>
  <c r="AF447" i="1"/>
  <c r="AF263" i="1"/>
  <c r="AF446" i="1"/>
  <c r="AF470" i="1"/>
  <c r="X101" i="1"/>
  <c r="X571" i="1"/>
  <c r="X231" i="1"/>
  <c r="X102" i="1"/>
  <c r="X650" i="1"/>
  <c r="X570" i="1"/>
  <c r="X238" i="1"/>
  <c r="X435" i="1"/>
  <c r="X437" i="1"/>
  <c r="T238" i="1"/>
  <c r="T440" i="1"/>
  <c r="T231" i="1"/>
  <c r="T433" i="1"/>
  <c r="U474" i="1"/>
  <c r="X230" i="1"/>
  <c r="AK131" i="1"/>
  <c r="AL131" i="1" s="1"/>
  <c r="O32" i="1"/>
  <c r="O439" i="1" s="1"/>
  <c r="AF245" i="1"/>
  <c r="AF262" i="1"/>
  <c r="AF471" i="1"/>
  <c r="P659" i="1"/>
  <c r="AH659" i="1"/>
  <c r="T165" i="1"/>
  <c r="J656" i="1"/>
  <c r="Q206" i="1"/>
  <c r="Z267" i="1"/>
  <c r="Z475" i="1"/>
  <c r="Z248" i="1"/>
  <c r="Q248" i="1"/>
  <c r="Q475" i="1"/>
  <c r="H267" i="1"/>
  <c r="H475" i="1"/>
  <c r="J450" i="1"/>
  <c r="J251" i="1"/>
  <c r="J453" i="1"/>
  <c r="Q268" i="1"/>
  <c r="Q249" i="1"/>
  <c r="H268" i="1"/>
  <c r="H249" i="1"/>
  <c r="H451" i="1"/>
  <c r="H476" i="1"/>
  <c r="L45" i="1"/>
  <c r="L61" i="1" s="1"/>
  <c r="Y266" i="1"/>
  <c r="Y474" i="1"/>
  <c r="P266" i="1"/>
  <c r="P474" i="1"/>
  <c r="K266" i="1"/>
  <c r="K474" i="1"/>
  <c r="AD247" i="1"/>
  <c r="AD265" i="1"/>
  <c r="AD449" i="1"/>
  <c r="AD473" i="1"/>
  <c r="AD45" i="1"/>
  <c r="AD481" i="1" s="1"/>
  <c r="AH424" i="1"/>
  <c r="AH428" i="1" s="1"/>
  <c r="Z453" i="1"/>
  <c r="T434" i="1"/>
  <c r="AF474" i="1"/>
  <c r="H206" i="1"/>
  <c r="L249" i="1"/>
  <c r="X580" i="1"/>
  <c r="L475" i="1"/>
  <c r="AC424" i="1"/>
  <c r="AC428" i="1" s="1"/>
  <c r="AC215" i="1"/>
  <c r="AC214" i="1"/>
  <c r="AK218" i="1"/>
  <c r="AL218" i="1" s="1"/>
  <c r="AA238" i="1"/>
  <c r="AA237" i="1"/>
  <c r="AA650" i="1"/>
  <c r="K431" i="1"/>
  <c r="K571" i="1"/>
  <c r="K438" i="1"/>
  <c r="K650" i="1"/>
  <c r="K237" i="1"/>
  <c r="AK373" i="1"/>
  <c r="AL373" i="1" s="1"/>
  <c r="AB628" i="1"/>
  <c r="AB359" i="1" s="1"/>
  <c r="AB366" i="1" s="1"/>
  <c r="O628" i="1"/>
  <c r="O359" i="1" s="1"/>
  <c r="O366" i="1" s="1"/>
  <c r="AK296" i="1"/>
  <c r="AL296" i="1" s="1"/>
  <c r="K301" i="1"/>
  <c r="AH301" i="1"/>
  <c r="H641" i="1"/>
  <c r="H214" i="1" s="1"/>
  <c r="AH632" i="1"/>
  <c r="AH390" i="1" s="1"/>
  <c r="AH396" i="1" s="1"/>
  <c r="T632" i="1"/>
  <c r="T390" i="1" s="1"/>
  <c r="T396" i="1" s="1"/>
  <c r="AF631" i="1"/>
  <c r="AF380" i="1" s="1"/>
  <c r="AF387" i="1" s="1"/>
  <c r="AF657" i="1" s="1"/>
  <c r="M436" i="1"/>
  <c r="K630" i="1"/>
  <c r="K369" i="1" s="1"/>
  <c r="K375" i="1" s="1"/>
  <c r="H417" i="1"/>
  <c r="AA433" i="1"/>
  <c r="Y247" i="1"/>
  <c r="AA580" i="1"/>
  <c r="AK133" i="1"/>
  <c r="AL133" i="1" s="1"/>
  <c r="J632" i="1"/>
  <c r="J390" i="1" s="1"/>
  <c r="J396" i="1" s="1"/>
  <c r="S262" i="1"/>
  <c r="S471" i="1"/>
  <c r="AA248" i="1"/>
  <c r="AA267" i="1"/>
  <c r="I248" i="1"/>
  <c r="I267" i="1"/>
  <c r="AA450" i="1"/>
  <c r="AA453" i="1"/>
  <c r="W251" i="1"/>
  <c r="W450" i="1"/>
  <c r="O251" i="1"/>
  <c r="O450" i="1"/>
  <c r="Z268" i="1"/>
  <c r="Z249" i="1"/>
  <c r="M45" i="1"/>
  <c r="M455" i="1" s="1"/>
  <c r="I45" i="1"/>
  <c r="AA473" i="1"/>
  <c r="AA265" i="1"/>
  <c r="AB244" i="1"/>
  <c r="AB470" i="1"/>
  <c r="AB471" i="1"/>
  <c r="AB262" i="1"/>
  <c r="AB245" i="1"/>
  <c r="AB263" i="1"/>
  <c r="Y262" i="1"/>
  <c r="Y245" i="1"/>
  <c r="Y470" i="1"/>
  <c r="U263" i="1"/>
  <c r="U447" i="1"/>
  <c r="O245" i="1"/>
  <c r="O470" i="1"/>
  <c r="S436" i="1"/>
  <c r="S432" i="1"/>
  <c r="S431" i="1"/>
  <c r="AA263" i="1"/>
  <c r="AA446" i="1"/>
  <c r="AA470" i="1"/>
  <c r="I244" i="1"/>
  <c r="I470" i="1"/>
  <c r="I471" i="1"/>
  <c r="K247" i="1"/>
  <c r="K449" i="1"/>
  <c r="AD246" i="1"/>
  <c r="AD637" i="1"/>
  <c r="AD141" i="1" s="1"/>
  <c r="AD448" i="1"/>
  <c r="AD472" i="1"/>
  <c r="AD264" i="1"/>
  <c r="J472" i="1"/>
  <c r="J637" i="1"/>
  <c r="J141" i="1" s="1"/>
  <c r="AD446" i="1"/>
  <c r="AD447" i="1"/>
  <c r="H630" i="1"/>
  <c r="H369" i="1" s="1"/>
  <c r="M263" i="1"/>
  <c r="I262" i="1"/>
  <c r="X446" i="1"/>
  <c r="W264" i="1"/>
  <c r="W45" i="1"/>
  <c r="W253" i="1" s="1"/>
  <c r="F554" i="2"/>
  <c r="AK392" i="1"/>
  <c r="AL392" i="1" s="1"/>
  <c r="AF632" i="1"/>
  <c r="AF390" i="1" s="1"/>
  <c r="AF396" i="1" s="1"/>
  <c r="Z631" i="1"/>
  <c r="Z380" i="1" s="1"/>
  <c r="Z387" i="1" s="1"/>
  <c r="Q631" i="1"/>
  <c r="Q380" i="1" s="1"/>
  <c r="Q387" i="1" s="1"/>
  <c r="Q657" i="1" s="1"/>
  <c r="AC630" i="1"/>
  <c r="AC369" i="1" s="1"/>
  <c r="AC375" i="1" s="1"/>
  <c r="AC159" i="1" s="1"/>
  <c r="AC165" i="1" s="1"/>
  <c r="V301" i="1"/>
  <c r="M286" i="1"/>
  <c r="AB247" i="1"/>
  <c r="AB265" i="1"/>
  <c r="AB449" i="1"/>
  <c r="AB473" i="1"/>
  <c r="J265" i="1"/>
  <c r="J449" i="1"/>
  <c r="J247" i="1"/>
  <c r="AJ246" i="1"/>
  <c r="AJ472" i="1"/>
  <c r="AJ637" i="1"/>
  <c r="AJ141" i="1" s="1"/>
  <c r="AK182" i="1"/>
  <c r="AL182" i="1" s="1"/>
  <c r="AK154" i="1"/>
  <c r="AL154" i="1" s="1"/>
  <c r="J628" i="1"/>
  <c r="J359" i="1" s="1"/>
  <c r="J366" i="1" s="1"/>
  <c r="J655" i="1" s="1"/>
  <c r="AK24" i="1"/>
  <c r="AL24" i="1" s="1"/>
  <c r="I206" i="1"/>
  <c r="AD641" i="1"/>
  <c r="AD216" i="1" s="1"/>
  <c r="Z641" i="1"/>
  <c r="Z216" i="1" s="1"/>
  <c r="V641" i="1"/>
  <c r="M641" i="1"/>
  <c r="M215" i="1" s="1"/>
  <c r="AC494" i="1"/>
  <c r="Z494" i="1"/>
  <c r="L494" i="1"/>
  <c r="AB206" i="1"/>
  <c r="X206" i="1"/>
  <c r="Z206" i="1"/>
  <c r="L206" i="1"/>
  <c r="U32" i="1"/>
  <c r="L26" i="1"/>
  <c r="S26" i="1"/>
  <c r="S568" i="1" s="1"/>
  <c r="U509" i="1"/>
  <c r="S417" i="1"/>
  <c r="AC407" i="1"/>
  <c r="W632" i="1"/>
  <c r="W390" i="1" s="1"/>
  <c r="W396" i="1" s="1"/>
  <c r="AB632" i="1"/>
  <c r="AB390" i="1" s="1"/>
  <c r="AB396" i="1" s="1"/>
  <c r="AB658" i="1" s="1"/>
  <c r="X632" i="1"/>
  <c r="X390" i="1" s="1"/>
  <c r="X396" i="1" s="1"/>
  <c r="W630" i="1"/>
  <c r="W369" i="1" s="1"/>
  <c r="W375" i="1" s="1"/>
  <c r="W159" i="1" s="1"/>
  <c r="W165" i="1" s="1"/>
  <c r="O630" i="1"/>
  <c r="O369" i="1" s="1"/>
  <c r="O375" i="1" s="1"/>
  <c r="AJ630" i="1"/>
  <c r="AJ369" i="1" s="1"/>
  <c r="AJ375" i="1" s="1"/>
  <c r="AJ377" i="1" s="1"/>
  <c r="U630" i="1"/>
  <c r="U369" i="1" s="1"/>
  <c r="U375" i="1" s="1"/>
  <c r="T628" i="1"/>
  <c r="T359" i="1" s="1"/>
  <c r="T366" i="1" s="1"/>
  <c r="T655" i="1" s="1"/>
  <c r="L628" i="1"/>
  <c r="L359" i="1" s="1"/>
  <c r="L366" i="1" s="1"/>
  <c r="AA286" i="1"/>
  <c r="I286" i="1"/>
  <c r="AF32" i="1"/>
  <c r="I454" i="1"/>
  <c r="I134" i="1"/>
  <c r="W103" i="1"/>
  <c r="I476" i="1"/>
  <c r="I249" i="1"/>
  <c r="I451" i="1"/>
  <c r="S45" i="1"/>
  <c r="S134" i="1" s="1"/>
  <c r="AK280" i="1"/>
  <c r="AL280" i="1" s="1"/>
  <c r="AD432" i="1"/>
  <c r="AD230" i="1"/>
  <c r="AD437" i="1"/>
  <c r="W455" i="1"/>
  <c r="J446" i="1"/>
  <c r="W134" i="1"/>
  <c r="J244" i="1"/>
  <c r="AK39" i="1"/>
  <c r="AL39" i="1" s="1"/>
  <c r="W454" i="1"/>
  <c r="AK640" i="1"/>
  <c r="AL640" i="1" s="1"/>
  <c r="W247" i="1"/>
  <c r="W265" i="1"/>
  <c r="AD509" i="1"/>
  <c r="AK506" i="1"/>
  <c r="AL506" i="1" s="1"/>
  <c r="AK499" i="1"/>
  <c r="AL499" i="1" s="1"/>
  <c r="W509" i="1"/>
  <c r="M509" i="1"/>
  <c r="AB509" i="1"/>
  <c r="X509" i="1"/>
  <c r="O509" i="1"/>
  <c r="AK492" i="1"/>
  <c r="AL492" i="1" s="1"/>
  <c r="AK489" i="1"/>
  <c r="AL489" i="1" s="1"/>
  <c r="AH494" i="1"/>
  <c r="AA494" i="1"/>
  <c r="S494" i="1"/>
  <c r="M494" i="1"/>
  <c r="AD433" i="1"/>
  <c r="AD570" i="1"/>
  <c r="AD231" i="1"/>
  <c r="AD650" i="1"/>
  <c r="AD101" i="1"/>
  <c r="AD438" i="1"/>
  <c r="AA213" i="1"/>
  <c r="AD571" i="1"/>
  <c r="T439" i="1"/>
  <c r="T432" i="1"/>
  <c r="T580" i="1"/>
  <c r="M268" i="1"/>
  <c r="AK250" i="1"/>
  <c r="AL250" i="1" s="1"/>
  <c r="AJ206" i="1"/>
  <c r="AC206" i="1"/>
  <c r="P206" i="1"/>
  <c r="K206" i="1"/>
  <c r="AK195" i="1"/>
  <c r="AL195" i="1" s="1"/>
  <c r="AK184" i="1"/>
  <c r="AL184" i="1" s="1"/>
  <c r="AK183" i="1"/>
  <c r="AL183" i="1" s="1"/>
  <c r="AK163" i="1"/>
  <c r="AL163" i="1" s="1"/>
  <c r="AK162" i="1"/>
  <c r="AL162" i="1" s="1"/>
  <c r="AK161" i="1"/>
  <c r="AL161" i="1" s="1"/>
  <c r="AK160" i="1"/>
  <c r="AL160" i="1" s="1"/>
  <c r="AA103" i="1"/>
  <c r="H152" i="1"/>
  <c r="AK362" i="1"/>
  <c r="AL362" i="1" s="1"/>
  <c r="S248" i="1"/>
  <c r="S267" i="1"/>
  <c r="S475" i="1"/>
  <c r="J471" i="1"/>
  <c r="J447" i="1"/>
  <c r="AD238" i="1"/>
  <c r="AD102" i="1"/>
  <c r="AD580" i="1"/>
  <c r="J470" i="1"/>
  <c r="U170" i="1"/>
  <c r="U177" i="1" s="1"/>
  <c r="Y656" i="1"/>
  <c r="AD440" i="1"/>
  <c r="AD439" i="1"/>
  <c r="AD434" i="1"/>
  <c r="T571" i="1"/>
  <c r="T570" i="1"/>
  <c r="Q454" i="1"/>
  <c r="J262" i="1"/>
  <c r="J245" i="1"/>
  <c r="W637" i="1"/>
  <c r="W141" i="1" s="1"/>
  <c r="AC451" i="1"/>
  <c r="AK175" i="1"/>
  <c r="AL175" i="1" s="1"/>
  <c r="AD267" i="1"/>
  <c r="AD475" i="1"/>
  <c r="K231" i="1"/>
  <c r="K580" i="1"/>
  <c r="K570" i="1"/>
  <c r="K432" i="1"/>
  <c r="K439" i="1"/>
  <c r="K436" i="1"/>
  <c r="K433" i="1"/>
  <c r="K440" i="1"/>
  <c r="K101" i="1"/>
  <c r="K437" i="1"/>
  <c r="K102" i="1"/>
  <c r="K434" i="1"/>
  <c r="I417" i="1"/>
  <c r="AK142" i="1"/>
  <c r="AL142" i="1" s="1"/>
  <c r="V568" i="1"/>
  <c r="V569" i="1"/>
  <c r="V567" i="1"/>
  <c r="AK425" i="1"/>
  <c r="AL425" i="1" s="1"/>
  <c r="L641" i="1"/>
  <c r="Q509" i="1"/>
  <c r="AK505" i="1"/>
  <c r="AL505" i="1" s="1"/>
  <c r="AF509" i="1"/>
  <c r="Z509" i="1"/>
  <c r="I509" i="1"/>
  <c r="Q476" i="1"/>
  <c r="Q451" i="1"/>
  <c r="AH431" i="1"/>
  <c r="AH650" i="1"/>
  <c r="AK29" i="1"/>
  <c r="AL29" i="1" s="1"/>
  <c r="Q32" i="1"/>
  <c r="Q650" i="1" s="1"/>
  <c r="AK150" i="1"/>
  <c r="AL150" i="1" s="1"/>
  <c r="AJ265" i="1"/>
  <c r="AJ473" i="1"/>
  <c r="AC247" i="1"/>
  <c r="AC473" i="1"/>
  <c r="Q449" i="1"/>
  <c r="Q637" i="1"/>
  <c r="Q141" i="1" s="1"/>
  <c r="L247" i="1"/>
  <c r="L449" i="1"/>
  <c r="L637" i="1"/>
  <c r="L141" i="1" s="1"/>
  <c r="L473" i="1"/>
  <c r="U264" i="1"/>
  <c r="U45" i="1"/>
  <c r="U253" i="1" s="1"/>
  <c r="W447" i="1"/>
  <c r="W470" i="1"/>
  <c r="W262" i="1"/>
  <c r="AK71" i="1"/>
  <c r="AL71" i="1" s="1"/>
  <c r="AK132" i="1"/>
  <c r="AL132" i="1" s="1"/>
  <c r="AC213" i="1"/>
  <c r="K267" i="1"/>
  <c r="AK363" i="1"/>
  <c r="AL363" i="1" s="1"/>
  <c r="AA431" i="1"/>
  <c r="AA571" i="1"/>
  <c r="AA230" i="1"/>
  <c r="AA438" i="1"/>
  <c r="AA437" i="1"/>
  <c r="Q245" i="1"/>
  <c r="Q470" i="1"/>
  <c r="AK415" i="1"/>
  <c r="AL415" i="1" s="1"/>
  <c r="AB417" i="1"/>
  <c r="AK402" i="1"/>
  <c r="AL402" i="1" s="1"/>
  <c r="X631" i="1"/>
  <c r="X380" i="1" s="1"/>
  <c r="X387" i="1" s="1"/>
  <c r="AJ631" i="1"/>
  <c r="AJ380" i="1" s="1"/>
  <c r="AJ387" i="1" s="1"/>
  <c r="K631" i="1"/>
  <c r="K380" i="1" s="1"/>
  <c r="K387" i="1" s="1"/>
  <c r="K398" i="1" s="1"/>
  <c r="AK364" i="1"/>
  <c r="AL364" i="1" s="1"/>
  <c r="K628" i="1"/>
  <c r="K359" i="1" s="1"/>
  <c r="K366" i="1" s="1"/>
  <c r="AK299" i="1"/>
  <c r="AL299" i="1" s="1"/>
  <c r="AK298" i="1"/>
  <c r="AL298" i="1" s="1"/>
  <c r="AD301" i="1"/>
  <c r="AK282" i="1"/>
  <c r="AL282" i="1" s="1"/>
  <c r="O248" i="1"/>
  <c r="O475" i="1"/>
  <c r="AJ266" i="1"/>
  <c r="AJ474" i="1"/>
  <c r="AC266" i="1"/>
  <c r="AC474" i="1"/>
  <c r="M266" i="1"/>
  <c r="M474" i="1"/>
  <c r="AF439" i="1"/>
  <c r="O417" i="1"/>
  <c r="X407" i="1"/>
  <c r="AH26" i="1"/>
  <c r="AA26" i="1"/>
  <c r="AA567" i="1" s="1"/>
  <c r="O26" i="1"/>
  <c r="O568" i="1" s="1"/>
  <c r="O641" i="1"/>
  <c r="AJ641" i="1"/>
  <c r="AJ214" i="1" s="1"/>
  <c r="Y641" i="1"/>
  <c r="P641" i="1"/>
  <c r="AB494" i="1"/>
  <c r="J494" i="1"/>
  <c r="T470" i="1"/>
  <c r="AD417" i="1"/>
  <c r="Y286" i="1"/>
  <c r="P26" i="1"/>
  <c r="K26" i="1"/>
  <c r="I630" i="1"/>
  <c r="I369" i="1" s="1"/>
  <c r="I375" i="1" s="1"/>
  <c r="AH417" i="1"/>
  <c r="AB32" i="1"/>
  <c r="AC32" i="1"/>
  <c r="L32" i="1"/>
  <c r="AD424" i="1"/>
  <c r="AD428" i="1" s="1"/>
  <c r="Z247" i="1"/>
  <c r="Z473" i="1"/>
  <c r="Z637" i="1"/>
  <c r="Z141" i="1" s="1"/>
  <c r="Z265" i="1"/>
  <c r="Z449" i="1"/>
  <c r="P264" i="1"/>
  <c r="P246" i="1"/>
  <c r="P472" i="1"/>
  <c r="P637" i="1"/>
  <c r="P141" i="1" s="1"/>
  <c r="P448" i="1"/>
  <c r="AH262" i="1"/>
  <c r="AH446" i="1"/>
  <c r="AH471" i="1"/>
  <c r="AH470" i="1"/>
  <c r="AH447" i="1"/>
  <c r="AH263" i="1"/>
  <c r="AH45" i="1"/>
  <c r="AC471" i="1"/>
  <c r="AC470" i="1"/>
  <c r="AC244" i="1"/>
  <c r="AC263" i="1"/>
  <c r="AC262" i="1"/>
  <c r="AC245" i="1"/>
  <c r="I151" i="1"/>
  <c r="K151" i="1" s="1"/>
  <c r="I628" i="1"/>
  <c r="I359" i="1" s="1"/>
  <c r="I366" i="1" s="1"/>
  <c r="I407" i="1"/>
  <c r="I659" i="1" s="1"/>
  <c r="M656" i="1"/>
  <c r="AA254" i="1"/>
  <c r="Q579" i="1"/>
  <c r="Q568" i="1"/>
  <c r="H170" i="1"/>
  <c r="H177" i="1" s="1"/>
  <c r="AK412" i="1"/>
  <c r="AL412" i="1" s="1"/>
  <c r="M230" i="1"/>
  <c r="M238" i="1"/>
  <c r="M431" i="1"/>
  <c r="M101" i="1"/>
  <c r="M437" i="1"/>
  <c r="M570" i="1"/>
  <c r="M571" i="1"/>
  <c r="M102" i="1"/>
  <c r="M231" i="1"/>
  <c r="M433" i="1"/>
  <c r="M439" i="1"/>
  <c r="M435" i="1"/>
  <c r="Q580" i="1"/>
  <c r="Q569" i="1"/>
  <c r="AK370" i="1"/>
  <c r="AL370" i="1" s="1"/>
  <c r="U252" i="1"/>
  <c r="U477" i="1"/>
  <c r="AK452" i="1"/>
  <c r="AL452" i="1" s="1"/>
  <c r="J267" i="1"/>
  <c r="J475" i="1"/>
  <c r="J248" i="1"/>
  <c r="J45" i="1"/>
  <c r="AB251" i="1"/>
  <c r="AB453" i="1"/>
  <c r="AB450" i="1"/>
  <c r="Y450" i="1"/>
  <c r="Y251" i="1"/>
  <c r="Y45" i="1"/>
  <c r="Y252" i="1" s="1"/>
  <c r="U251" i="1"/>
  <c r="U453" i="1"/>
  <c r="U450" i="1"/>
  <c r="AB249" i="1"/>
  <c r="AB268" i="1"/>
  <c r="AB476" i="1"/>
  <c r="AB451" i="1"/>
  <c r="H247" i="1"/>
  <c r="H473" i="1"/>
  <c r="H449" i="1"/>
  <c r="H265" i="1"/>
  <c r="AF246" i="1"/>
  <c r="AF264" i="1"/>
  <c r="AF472" i="1"/>
  <c r="AF448" i="1"/>
  <c r="AF637" i="1"/>
  <c r="AF141" i="1" s="1"/>
  <c r="AF45" i="1"/>
  <c r="AF454" i="1" s="1"/>
  <c r="T472" i="1"/>
  <c r="T264" i="1"/>
  <c r="T246" i="1"/>
  <c r="T637" i="1"/>
  <c r="T141" i="1" s="1"/>
  <c r="T45" i="1"/>
  <c r="O246" i="1"/>
  <c r="O448" i="1"/>
  <c r="O637" i="1"/>
  <c r="O141" i="1" s="1"/>
  <c r="O45" i="1"/>
  <c r="K637" i="1"/>
  <c r="K141" i="1" s="1"/>
  <c r="K264" i="1"/>
  <c r="K448" i="1"/>
  <c r="K472" i="1"/>
  <c r="K45" i="1"/>
  <c r="K454" i="1" s="1"/>
  <c r="H448" i="1"/>
  <c r="H264" i="1"/>
  <c r="H637" i="1"/>
  <c r="H141" i="1" s="1"/>
  <c r="AD215" i="1"/>
  <c r="H657" i="1"/>
  <c r="V448" i="1"/>
  <c r="O432" i="1"/>
  <c r="AA253" i="1"/>
  <c r="M434" i="1"/>
  <c r="M432" i="1"/>
  <c r="M650" i="1"/>
  <c r="J407" i="1"/>
  <c r="J419" i="1" s="1"/>
  <c r="AK35" i="1"/>
  <c r="AL35" i="1" s="1"/>
  <c r="AF494" i="1"/>
  <c r="AK490" i="1"/>
  <c r="AL490" i="1" s="1"/>
  <c r="U569" i="1"/>
  <c r="AC446" i="1"/>
  <c r="Q665" i="1"/>
  <c r="AK42" i="1"/>
  <c r="AL42" i="1" s="1"/>
  <c r="Y453" i="1"/>
  <c r="P45" i="1"/>
  <c r="P253" i="1" s="1"/>
  <c r="H45" i="1"/>
  <c r="M216" i="1"/>
  <c r="M424" i="1"/>
  <c r="M428" i="1" s="1"/>
  <c r="Z579" i="1"/>
  <c r="Z569" i="1"/>
  <c r="Z567" i="1"/>
  <c r="Z665" i="1"/>
  <c r="AK405" i="1"/>
  <c r="AL405" i="1" s="1"/>
  <c r="I253" i="1"/>
  <c r="F524" i="2"/>
  <c r="F529" i="2" s="1"/>
  <c r="AK589" i="1"/>
  <c r="AL589" i="1" s="1"/>
  <c r="U494" i="1"/>
  <c r="P494" i="1"/>
  <c r="AK488" i="1"/>
  <c r="AL488" i="1" s="1"/>
  <c r="K494" i="1"/>
  <c r="AK497" i="1"/>
  <c r="AL497" i="1" s="1"/>
  <c r="AH509" i="1"/>
  <c r="S72" i="1"/>
  <c r="T431" i="1"/>
  <c r="T438" i="1"/>
  <c r="T102" i="1"/>
  <c r="T436" i="1"/>
  <c r="AH248" i="1"/>
  <c r="AH475" i="1"/>
  <c r="AH267" i="1"/>
  <c r="T267" i="1"/>
  <c r="T475" i="1"/>
  <c r="P475" i="1"/>
  <c r="P267" i="1"/>
  <c r="AK502" i="1"/>
  <c r="AL502" i="1" s="1"/>
  <c r="AK501" i="1"/>
  <c r="AL501" i="1" s="1"/>
  <c r="V509" i="1"/>
  <c r="L509" i="1"/>
  <c r="AK498" i="1"/>
  <c r="AL498" i="1" s="1"/>
  <c r="H509" i="1"/>
  <c r="AA509" i="1"/>
  <c r="AK193" i="1"/>
  <c r="AL193" i="1" s="1"/>
  <c r="X433" i="1"/>
  <c r="X434" i="1"/>
  <c r="X237" i="1"/>
  <c r="AK203" i="1"/>
  <c r="AL203" i="1" s="1"/>
  <c r="U407" i="1"/>
  <c r="K407" i="1"/>
  <c r="AC632" i="1"/>
  <c r="AC390" i="1" s="1"/>
  <c r="AC396" i="1" s="1"/>
  <c r="P632" i="1"/>
  <c r="P390" i="1" s="1"/>
  <c r="P396" i="1" s="1"/>
  <c r="AK385" i="1"/>
  <c r="AL385" i="1" s="1"/>
  <c r="AH631" i="1"/>
  <c r="AH380" i="1" s="1"/>
  <c r="AH387" i="1" s="1"/>
  <c r="AB631" i="1"/>
  <c r="AB380" i="1" s="1"/>
  <c r="AB387" i="1" s="1"/>
  <c r="Q286" i="1"/>
  <c r="H286" i="1"/>
  <c r="S268" i="1"/>
  <c r="S249" i="1"/>
  <c r="S476" i="1"/>
  <c r="J249" i="1"/>
  <c r="J268" i="1"/>
  <c r="J451" i="1"/>
  <c r="J476" i="1"/>
  <c r="T473" i="1"/>
  <c r="T449" i="1"/>
  <c r="T247" i="1"/>
  <c r="K473" i="1"/>
  <c r="K265" i="1"/>
  <c r="Y230" i="1"/>
  <c r="Y435" i="1"/>
  <c r="Y102" i="1"/>
  <c r="Y431" i="1"/>
  <c r="Y101" i="1"/>
  <c r="V32" i="1"/>
  <c r="AF26" i="1"/>
  <c r="AF665" i="1" s="1"/>
  <c r="X436" i="1"/>
  <c r="X431" i="1"/>
  <c r="X439" i="1"/>
  <c r="X440" i="1"/>
  <c r="W581" i="1"/>
  <c r="Q641" i="1"/>
  <c r="M407" i="1"/>
  <c r="M191" i="1" s="1"/>
  <c r="M197" i="1" s="1"/>
  <c r="AC248" i="1"/>
  <c r="AC267" i="1"/>
  <c r="Y248" i="1"/>
  <c r="Y475" i="1"/>
  <c r="M267" i="1"/>
  <c r="M248" i="1"/>
  <c r="M475" i="1"/>
  <c r="V251" i="1"/>
  <c r="V450" i="1"/>
  <c r="V453" i="1"/>
  <c r="Y249" i="1"/>
  <c r="Y268" i="1"/>
  <c r="Y476" i="1"/>
  <c r="M249" i="1"/>
  <c r="M476" i="1"/>
  <c r="AJ45" i="1"/>
  <c r="S266" i="1"/>
  <c r="S474" i="1"/>
  <c r="X471" i="1"/>
  <c r="X262" i="1"/>
  <c r="X244" i="1"/>
  <c r="X263" i="1"/>
  <c r="AK201" i="1"/>
  <c r="AL201" i="1" s="1"/>
  <c r="J631" i="1"/>
  <c r="J380" i="1" s="1"/>
  <c r="J387" i="1" s="1"/>
  <c r="J170" i="1" s="1"/>
  <c r="J177" i="1" s="1"/>
  <c r="K641" i="1"/>
  <c r="K215" i="1" s="1"/>
  <c r="W641" i="1"/>
  <c r="W213" i="1" s="1"/>
  <c r="S641" i="1"/>
  <c r="S216" i="1" s="1"/>
  <c r="S628" i="1"/>
  <c r="S359" i="1" s="1"/>
  <c r="S366" i="1" s="1"/>
  <c r="S149" i="1" s="1"/>
  <c r="S156" i="1" s="1"/>
  <c r="AD286" i="1"/>
  <c r="Z286" i="1"/>
  <c r="K251" i="1"/>
  <c r="K450" i="1"/>
  <c r="L446" i="1"/>
  <c r="L470" i="1"/>
  <c r="L245" i="1"/>
  <c r="J32" i="1"/>
  <c r="AK118" i="1"/>
  <c r="AL118" i="1" s="1"/>
  <c r="AK74" i="1"/>
  <c r="AL74" i="1" s="1"/>
  <c r="AJ494" i="1"/>
  <c r="AH630" i="1"/>
  <c r="AH369" i="1" s="1"/>
  <c r="AH375" i="1" s="1"/>
  <c r="K286" i="1"/>
  <c r="V206" i="1"/>
  <c r="W248" i="1"/>
  <c r="W475" i="1"/>
  <c r="X251" i="1"/>
  <c r="X450" i="1"/>
  <c r="P249" i="1"/>
  <c r="P476" i="1"/>
  <c r="Q265" i="1"/>
  <c r="AC472" i="1"/>
  <c r="AC637" i="1"/>
  <c r="AC141" i="1" s="1"/>
  <c r="Z246" i="1"/>
  <c r="S264" i="1"/>
  <c r="S448" i="1"/>
  <c r="L244" i="1"/>
  <c r="AB286" i="1"/>
  <c r="X286" i="1"/>
  <c r="Z32" i="1"/>
  <c r="H32" i="1"/>
  <c r="AB641" i="1"/>
  <c r="X641" i="1"/>
  <c r="X215" i="1" s="1"/>
  <c r="J509" i="1"/>
  <c r="AK504" i="1"/>
  <c r="AL504" i="1" s="1"/>
  <c r="W494" i="1"/>
  <c r="AD453" i="1"/>
  <c r="W32" i="1"/>
  <c r="M26" i="1"/>
  <c r="M665" i="1" s="1"/>
  <c r="H407" i="1"/>
  <c r="AK403" i="1"/>
  <c r="AL403" i="1" s="1"/>
  <c r="Q658" i="1"/>
  <c r="F511" i="1"/>
  <c r="AK20" i="1"/>
  <c r="AL20" i="1" s="1"/>
  <c r="I26" i="1"/>
  <c r="X473" i="1"/>
  <c r="X247" i="1"/>
  <c r="X449" i="1"/>
  <c r="X637" i="1"/>
  <c r="X141" i="1" s="1"/>
  <c r="AK37" i="1"/>
  <c r="AL37" i="1" s="1"/>
  <c r="X265" i="1"/>
  <c r="X45" i="1"/>
  <c r="Z252" i="1"/>
  <c r="F256" i="1"/>
  <c r="F273" i="1" s="1"/>
  <c r="F275" i="1" s="1"/>
  <c r="H123" i="1"/>
  <c r="F128" i="1"/>
  <c r="F140" i="1" s="1"/>
  <c r="J123" i="1"/>
  <c r="I123" i="1"/>
  <c r="F107" i="1"/>
  <c r="I99" i="1"/>
  <c r="J99" i="1"/>
  <c r="H99" i="1"/>
  <c r="V267" i="1"/>
  <c r="V248" i="1"/>
  <c r="AK43" i="1"/>
  <c r="AL43" i="1" s="1"/>
  <c r="V475" i="1"/>
  <c r="V45" i="1"/>
  <c r="X249" i="1"/>
  <c r="X451" i="1"/>
  <c r="X268" i="1"/>
  <c r="X476" i="1"/>
  <c r="AK41" i="1"/>
  <c r="AL41" i="1" s="1"/>
  <c r="U580" i="1"/>
  <c r="U237" i="1"/>
  <c r="U231" i="1"/>
  <c r="U230" i="1"/>
  <c r="U438" i="1"/>
  <c r="AK16" i="1"/>
  <c r="AL16" i="1" s="1"/>
  <c r="H26" i="1"/>
  <c r="F65" i="1"/>
  <c r="F36" i="6"/>
  <c r="G867" i="2"/>
  <c r="G1121" i="2"/>
  <c r="G1122" i="2" s="1"/>
  <c r="G1100" i="2" s="1"/>
  <c r="G654" i="2" s="1"/>
  <c r="G870" i="2"/>
  <c r="L869" i="2"/>
  <c r="L868" i="2"/>
  <c r="Q884" i="2"/>
  <c r="Q886" i="2"/>
  <c r="D53" i="8"/>
  <c r="D54" i="8" s="1"/>
  <c r="B54" i="8"/>
  <c r="D49" i="8"/>
  <c r="F655" i="2"/>
  <c r="F1205" i="2" s="1"/>
  <c r="K1162" i="2"/>
  <c r="K885" i="2"/>
  <c r="K1110" i="2"/>
  <c r="K1114" i="2" s="1"/>
  <c r="F36" i="8"/>
  <c r="F1110" i="2" s="1"/>
  <c r="F1114" i="2" s="1"/>
  <c r="X149" i="1"/>
  <c r="X156" i="1" s="1"/>
  <c r="O180" i="1"/>
  <c r="O186" i="1" s="1"/>
  <c r="O658" i="1"/>
  <c r="J568" i="1"/>
  <c r="AK36" i="1"/>
  <c r="AL36" i="1" s="1"/>
  <c r="V246" i="1"/>
  <c r="S398" i="1"/>
  <c r="AC149" i="1"/>
  <c r="AC156" i="1" s="1"/>
  <c r="M657" i="1"/>
  <c r="V159" i="1"/>
  <c r="V165" i="1" s="1"/>
  <c r="I632" i="1"/>
  <c r="AK391" i="1"/>
  <c r="AL391" i="1" s="1"/>
  <c r="AJ569" i="1"/>
  <c r="AJ568" i="1"/>
  <c r="AJ579" i="1"/>
  <c r="AJ665" i="1"/>
  <c r="AK30" i="1"/>
  <c r="AL30" i="1" s="1"/>
  <c r="P32" i="1"/>
  <c r="I631" i="1"/>
  <c r="AK384" i="1"/>
  <c r="AL384" i="1" s="1"/>
  <c r="AF159" i="1"/>
  <c r="AF165" i="1" s="1"/>
  <c r="P481" i="1"/>
  <c r="P72" i="1"/>
  <c r="P135" i="1"/>
  <c r="P254" i="1"/>
  <c r="AA63" i="1"/>
  <c r="S253" i="1"/>
  <c r="S581" i="1"/>
  <c r="S455" i="1"/>
  <c r="S477" i="1"/>
  <c r="S61" i="1"/>
  <c r="S125" i="1"/>
  <c r="W419" i="1"/>
  <c r="AK181" i="1"/>
  <c r="AL181" i="1" s="1"/>
  <c r="U216" i="1"/>
  <c r="H628" i="1"/>
  <c r="AH215" i="1"/>
  <c r="AH214" i="1"/>
  <c r="T650" i="1"/>
  <c r="T437" i="1"/>
  <c r="T435" i="1"/>
  <c r="T101" i="1"/>
  <c r="T230" i="1"/>
  <c r="AD655" i="1"/>
  <c r="AK204" i="1"/>
  <c r="AL204" i="1" s="1"/>
  <c r="L1141" i="2"/>
  <c r="L1140" i="2"/>
  <c r="L1143" i="2" s="1"/>
  <c r="L1142" i="2" s="1"/>
  <c r="L1138" i="2"/>
  <c r="I455" i="1"/>
  <c r="AH436" i="1"/>
  <c r="AH230" i="1"/>
  <c r="AD579" i="1"/>
  <c r="Q433" i="1"/>
  <c r="V247" i="1"/>
  <c r="AJ454" i="1"/>
  <c r="V449" i="1"/>
  <c r="X246" i="1"/>
  <c r="X448" i="1"/>
  <c r="AK153" i="1"/>
  <c r="AL153" i="1" s="1"/>
  <c r="AK98" i="1"/>
  <c r="AL98" i="1" s="1"/>
  <c r="AK100" i="1"/>
  <c r="AL100" i="1" s="1"/>
  <c r="V473" i="1"/>
  <c r="AB665" i="1"/>
  <c r="V665" i="1"/>
  <c r="F47" i="1"/>
  <c r="I639" i="1"/>
  <c r="J639" i="1"/>
  <c r="J641" i="1" s="1"/>
  <c r="M884" i="2"/>
  <c r="M885" i="2"/>
  <c r="M868" i="2"/>
  <c r="AK171" i="1"/>
  <c r="AL171" i="1" s="1"/>
  <c r="AF641" i="1"/>
  <c r="Y246" i="1"/>
  <c r="Y264" i="1"/>
  <c r="Y472" i="1"/>
  <c r="F534" i="1"/>
  <c r="F536" i="1" s="1"/>
  <c r="F538" i="1" s="1"/>
  <c r="AK503" i="1"/>
  <c r="AL503" i="1" s="1"/>
  <c r="Y509" i="1"/>
  <c r="AK361" i="1"/>
  <c r="AL361" i="1" s="1"/>
  <c r="Q567" i="1"/>
  <c r="W473" i="1"/>
  <c r="E36" i="6"/>
  <c r="AC476" i="1"/>
  <c r="AC45" i="1"/>
  <c r="AC268" i="1"/>
  <c r="F18" i="7"/>
  <c r="E36" i="7"/>
  <c r="L63" i="7"/>
  <c r="F535" i="2"/>
  <c r="F286" i="1"/>
  <c r="H5" i="11" s="1"/>
  <c r="H7" i="11" s="1"/>
  <c r="H9" i="11" s="1"/>
  <c r="F40" i="7"/>
  <c r="AB40" i="1"/>
  <c r="G275" i="1"/>
  <c r="I251" i="1"/>
  <c r="I450" i="1"/>
  <c r="AJ249" i="1"/>
  <c r="AJ451" i="1"/>
  <c r="AD249" i="1"/>
  <c r="AD268" i="1"/>
  <c r="AD476" i="1"/>
  <c r="S245" i="1"/>
  <c r="S446" i="1"/>
  <c r="S263" i="1"/>
  <c r="S244" i="1"/>
  <c r="AA206" i="1"/>
  <c r="AA246" i="1"/>
  <c r="AA448" i="1"/>
  <c r="L246" i="1"/>
  <c r="L448" i="1"/>
  <c r="F34" i="6"/>
  <c r="F656" i="2"/>
  <c r="V632" i="1"/>
  <c r="V390" i="1" s="1"/>
  <c r="V396" i="1" s="1"/>
  <c r="O286" i="1"/>
  <c r="F116" i="1"/>
  <c r="AJ251" i="1"/>
  <c r="AA244" i="1"/>
  <c r="AA447" i="1"/>
  <c r="AH286" i="1"/>
  <c r="AH247" i="1"/>
  <c r="AH265" i="1"/>
  <c r="AH244" i="1"/>
  <c r="AH245" i="1"/>
  <c r="P262" i="1"/>
  <c r="P245" i="1"/>
  <c r="P447" i="1"/>
  <c r="M1121" i="2"/>
  <c r="M1114" i="2"/>
  <c r="H194" i="1"/>
  <c r="AK194" i="1" s="1"/>
  <c r="AL194" i="1" s="1"/>
  <c r="AH473" i="1"/>
  <c r="S472" i="1"/>
  <c r="AJ453" i="1"/>
  <c r="V417" i="1"/>
  <c r="U286" i="1"/>
  <c r="V286" i="1"/>
  <c r="O206" i="1"/>
  <c r="W244" i="1"/>
  <c r="W446" i="1"/>
  <c r="H1125" i="2"/>
  <c r="D12" i="6"/>
  <c r="D36" i="6" s="1"/>
  <c r="I1114" i="2"/>
  <c r="P1114" i="2"/>
  <c r="G868" i="2"/>
  <c r="J868" i="2"/>
  <c r="P885" i="2"/>
  <c r="Q1114" i="2"/>
  <c r="T1196" i="2"/>
  <c r="U1196" i="2" s="1"/>
  <c r="V1196" i="2" s="1"/>
  <c r="N1114" i="2"/>
  <c r="F1084" i="2"/>
  <c r="I1131" i="2"/>
  <c r="I1132" i="2" s="1"/>
  <c r="I1128" i="2"/>
  <c r="I1133" i="2"/>
  <c r="I1130" i="2"/>
  <c r="Q1131" i="2"/>
  <c r="Q1128" i="2"/>
  <c r="H1126" i="2"/>
  <c r="H1127" i="2" s="1"/>
  <c r="H888" i="2"/>
  <c r="H1137" i="2"/>
  <c r="I49" i="15"/>
  <c r="J49" i="15"/>
  <c r="Q1130" i="2"/>
  <c r="Q1132" i="2" s="1"/>
  <c r="Q1133" i="2" s="1"/>
  <c r="J1122" i="2"/>
  <c r="J1152" i="2" s="1"/>
  <c r="J1176" i="2" s="1"/>
  <c r="F49" i="17"/>
  <c r="G888" i="2"/>
  <c r="T1125" i="2"/>
  <c r="U1125" i="2" s="1"/>
  <c r="V1125" i="2" s="1"/>
  <c r="M1126" i="2"/>
  <c r="M1127" i="2" s="1"/>
  <c r="M1128" i="2" s="1"/>
  <c r="M888" i="2"/>
  <c r="F549" i="2"/>
  <c r="S916" i="2"/>
  <c r="S1022" i="2"/>
  <c r="N821" i="2"/>
  <c r="N679" i="2"/>
  <c r="G49" i="16"/>
  <c r="I1122" i="2"/>
  <c r="I1152" i="2" s="1"/>
  <c r="I1176" i="2" s="1"/>
  <c r="E49" i="16"/>
  <c r="K1147" i="2"/>
  <c r="K1148" i="2" s="1"/>
  <c r="K886" i="2"/>
  <c r="P1147" i="2"/>
  <c r="P886" i="2"/>
  <c r="G1169" i="2"/>
  <c r="G869" i="2"/>
  <c r="T1191" i="2"/>
  <c r="U1191" i="2" s="1"/>
  <c r="V1191" i="2" s="1"/>
  <c r="F1217" i="2"/>
  <c r="T1217" i="2"/>
  <c r="G1127" i="2"/>
  <c r="D6" i="10"/>
  <c r="T1113" i="2"/>
  <c r="I1147" i="2"/>
  <c r="I1148" i="2" s="1"/>
  <c r="T1146" i="2"/>
  <c r="U1146" i="2" s="1"/>
  <c r="V1146" i="2" s="1"/>
  <c r="L1130" i="2"/>
  <c r="L1131" i="2"/>
  <c r="L1132" i="2" s="1"/>
  <c r="P1130" i="2"/>
  <c r="P1132" i="2" s="1"/>
  <c r="P1133" i="2" s="1"/>
  <c r="P1131" i="2"/>
  <c r="R1130" i="2"/>
  <c r="R1132" i="2" s="1"/>
  <c r="R1133" i="2" s="1"/>
  <c r="R1131" i="2"/>
  <c r="N868" i="2"/>
  <c r="N886" i="2"/>
  <c r="N888" i="2"/>
  <c r="N884" i="2"/>
  <c r="N885" i="2"/>
  <c r="N870" i="2"/>
  <c r="N869" i="2"/>
  <c r="T1120" i="2"/>
  <c r="U1120" i="2" s="1"/>
  <c r="P1162" i="2"/>
  <c r="P821" i="2"/>
  <c r="H867" i="2"/>
  <c r="G1114" i="2"/>
  <c r="K1220" i="2"/>
  <c r="K1128" i="2"/>
  <c r="K1130" i="2"/>
  <c r="K1131" i="2"/>
  <c r="G657" i="2"/>
  <c r="H1" i="2"/>
  <c r="G663" i="2"/>
  <c r="G656" i="2"/>
  <c r="G664" i="2"/>
  <c r="G828" i="2"/>
  <c r="G552" i="2"/>
  <c r="G803" i="2"/>
  <c r="G1072" i="2"/>
  <c r="G1084" i="2" s="1"/>
  <c r="G659" i="2"/>
  <c r="G541" i="2"/>
  <c r="G547" i="2"/>
  <c r="G825" i="2"/>
  <c r="J49" i="17"/>
  <c r="I49" i="17"/>
  <c r="J1137" i="2"/>
  <c r="P1141" i="2"/>
  <c r="P1142" i="2" s="1"/>
  <c r="P1143" i="2" s="1"/>
  <c r="P1140" i="2"/>
  <c r="P1138" i="2"/>
  <c r="G884" i="2"/>
  <c r="J871" i="2"/>
  <c r="J869" i="2"/>
  <c r="J888" i="2"/>
  <c r="J870" i="2"/>
  <c r="T1110" i="2"/>
  <c r="U1110" i="2" s="1"/>
  <c r="V1110" i="2" s="1"/>
  <c r="K1141" i="2"/>
  <c r="K1140" i="2"/>
  <c r="K1143" i="2" s="1"/>
  <c r="G794" i="2"/>
  <c r="H49" i="14"/>
  <c r="F49" i="14"/>
  <c r="S936" i="2"/>
  <c r="S1043" i="2"/>
  <c r="I871" i="2"/>
  <c r="I884" i="2"/>
  <c r="I868" i="2"/>
  <c r="I870" i="2"/>
  <c r="I869" i="2"/>
  <c r="I885" i="2"/>
  <c r="O888" i="2"/>
  <c r="O884" i="2"/>
  <c r="R1121" i="2"/>
  <c r="R1122" i="2" s="1"/>
  <c r="R1152" i="2" s="1"/>
  <c r="R1176" i="2" s="1"/>
  <c r="K884" i="2"/>
  <c r="K870" i="2"/>
  <c r="K888" i="2"/>
  <c r="K869" i="2"/>
  <c r="N1128" i="2"/>
  <c r="N1131" i="2"/>
  <c r="G1138" i="2"/>
  <c r="G1140" i="2"/>
  <c r="G886" i="2"/>
  <c r="D5" i="10"/>
  <c r="G885" i="2"/>
  <c r="G871" i="2"/>
  <c r="Q885" i="2"/>
  <c r="Q1121" i="2"/>
  <c r="Q1122" i="2" s="1"/>
  <c r="Q1152" i="2" s="1"/>
  <c r="Q1176" i="2" s="1"/>
  <c r="Q888" i="2"/>
  <c r="T1193" i="2"/>
  <c r="U1193" i="2" s="1"/>
  <c r="V1193" i="2" s="1"/>
  <c r="U1113" i="2"/>
  <c r="T1218" i="2"/>
  <c r="F1218" i="2"/>
  <c r="O1220" i="2"/>
  <c r="T1199" i="2"/>
  <c r="U1199" i="2" s="1"/>
  <c r="N1121" i="2"/>
  <c r="H1121" i="2"/>
  <c r="M821" i="2"/>
  <c r="M679" i="2"/>
  <c r="Q1148" i="2"/>
  <c r="Q1149" i="2"/>
  <c r="M1133" i="2"/>
  <c r="M1130" i="2"/>
  <c r="M1131" i="2"/>
  <c r="H1106" i="2"/>
  <c r="J1126" i="2"/>
  <c r="J867" i="2"/>
  <c r="G544" i="2"/>
  <c r="G538" i="2"/>
  <c r="G545" i="2"/>
  <c r="F49" i="16"/>
  <c r="H49" i="16"/>
  <c r="G1117" i="2"/>
  <c r="G667" i="2"/>
  <c r="G1116" i="2"/>
  <c r="L1133" i="2"/>
  <c r="L1128" i="2"/>
  <c r="O1139" i="2"/>
  <c r="R1139" i="2"/>
  <c r="G1106" i="2"/>
  <c r="U1129" i="2"/>
  <c r="V1129" i="2" s="1"/>
  <c r="P1139" i="2"/>
  <c r="M1122" i="2"/>
  <c r="M1152" i="2" s="1"/>
  <c r="M1176" i="2" s="1"/>
  <c r="F49" i="21"/>
  <c r="O1130" i="2"/>
  <c r="O1131" i="2"/>
  <c r="O1128" i="2"/>
  <c r="I1137" i="2"/>
  <c r="J49" i="16"/>
  <c r="T1136" i="2"/>
  <c r="U1136" i="2" s="1"/>
  <c r="V1136" i="2" s="1"/>
  <c r="I49" i="16"/>
  <c r="L1121" i="2"/>
  <c r="L886" i="2"/>
  <c r="L871" i="2"/>
  <c r="T1119" i="2"/>
  <c r="U1119" i="2" s="1"/>
  <c r="V1119" i="2" s="1"/>
  <c r="L884" i="2"/>
  <c r="L885" i="2"/>
  <c r="L870" i="2"/>
  <c r="L867" i="2"/>
  <c r="T1147" i="2"/>
  <c r="U1147" i="2" s="1"/>
  <c r="V1147" i="2" s="1"/>
  <c r="G1152" i="2"/>
  <c r="G796" i="2"/>
  <c r="G1208" i="2"/>
  <c r="G829" i="2"/>
  <c r="O1121" i="2"/>
  <c r="O867" i="2"/>
  <c r="O886" i="2"/>
  <c r="O870" i="2"/>
  <c r="L1114" i="2"/>
  <c r="R1114" i="2"/>
  <c r="F963" i="2"/>
  <c r="F994" i="2" s="1"/>
  <c r="F1035" i="2"/>
  <c r="F1082" i="2" s="1"/>
  <c r="J1162" i="2"/>
  <c r="T1162" i="2" s="1"/>
  <c r="U1162" i="2" s="1"/>
  <c r="V1162" i="2" s="1"/>
  <c r="J885" i="2"/>
  <c r="T1151" i="2"/>
  <c r="U1151" i="2" s="1"/>
  <c r="V1151" i="2" s="1"/>
  <c r="K871" i="2"/>
  <c r="K867" i="2"/>
  <c r="K868" i="2"/>
  <c r="I1" i="2"/>
  <c r="I1106" i="2" s="1"/>
  <c r="F1210" i="2"/>
  <c r="O1137" i="2"/>
  <c r="I49" i="26"/>
  <c r="H1169" i="2"/>
  <c r="T1150" i="2"/>
  <c r="U1150" i="2" s="1"/>
  <c r="V1150" i="2" s="1"/>
  <c r="M867" i="2"/>
  <c r="M871" i="2"/>
  <c r="M869" i="2"/>
  <c r="G658" i="2"/>
  <c r="G826" i="2"/>
  <c r="D32" i="14" s="1"/>
  <c r="E32" i="14" s="1"/>
  <c r="K32" i="14" s="1"/>
  <c r="L32" i="14" s="1"/>
  <c r="G804" i="2"/>
  <c r="G830" i="2" s="1"/>
  <c r="G806" i="2"/>
  <c r="G652" i="2"/>
  <c r="G799" i="2"/>
  <c r="G798" i="2"/>
  <c r="G797" i="2"/>
  <c r="G805" i="2"/>
  <c r="G831" i="2" s="1"/>
  <c r="J49" i="21"/>
  <c r="M1137" i="2"/>
  <c r="G49" i="14"/>
  <c r="E49" i="14"/>
  <c r="T800" i="2"/>
  <c r="U800" i="2" s="1"/>
  <c r="V800" i="2" s="1"/>
  <c r="T827" i="2"/>
  <c r="U827" i="2" s="1"/>
  <c r="V827" i="2" s="1"/>
  <c r="AA125" i="1" l="1"/>
  <c r="AC657" i="1"/>
  <c r="AJ102" i="1"/>
  <c r="AA454" i="1"/>
  <c r="AA72" i="1"/>
  <c r="L572" i="1"/>
  <c r="AA135" i="1"/>
  <c r="S424" i="1"/>
  <c r="S428" i="1" s="1"/>
  <c r="W149" i="1"/>
  <c r="W156" i="1" s="1"/>
  <c r="Z658" i="1"/>
  <c r="Z213" i="1"/>
  <c r="S665" i="1"/>
  <c r="AA477" i="1"/>
  <c r="AA581" i="1"/>
  <c r="Z72" i="1"/>
  <c r="AA455" i="1"/>
  <c r="T656" i="1"/>
  <c r="L481" i="1"/>
  <c r="AA269" i="1"/>
  <c r="U655" i="1"/>
  <c r="Q170" i="1"/>
  <c r="Q177" i="1" s="1"/>
  <c r="Q188" i="1" s="1"/>
  <c r="AA134" i="1"/>
  <c r="AD170" i="1"/>
  <c r="AD177" i="1" s="1"/>
  <c r="AA649" i="1"/>
  <c r="L419" i="1"/>
  <c r="AH213" i="1"/>
  <c r="AF170" i="1"/>
  <c r="AF177" i="1" s="1"/>
  <c r="S47" i="1"/>
  <c r="S104" i="1" s="1"/>
  <c r="AA252" i="1"/>
  <c r="Y481" i="1"/>
  <c r="AA572" i="1"/>
  <c r="Z659" i="1"/>
  <c r="AA61" i="1"/>
  <c r="L254" i="1"/>
  <c r="AJ650" i="1"/>
  <c r="V657" i="1"/>
  <c r="AH655" i="1"/>
  <c r="AB656" i="1"/>
  <c r="O657" i="1"/>
  <c r="AJ437" i="1"/>
  <c r="S159" i="1"/>
  <c r="S165" i="1" s="1"/>
  <c r="P455" i="1"/>
  <c r="P252" i="1"/>
  <c r="S180" i="1"/>
  <c r="S186" i="1" s="1"/>
  <c r="AA377" i="1"/>
  <c r="Z655" i="1"/>
  <c r="Z214" i="1"/>
  <c r="S579" i="1"/>
  <c r="M208" i="1"/>
  <c r="Z477" i="1"/>
  <c r="U567" i="1"/>
  <c r="Q570" i="1"/>
  <c r="Z135" i="1"/>
  <c r="M213" i="1"/>
  <c r="AH419" i="1"/>
  <c r="AD659" i="1"/>
  <c r="O398" i="1"/>
  <c r="U579" i="1"/>
  <c r="AJ435" i="1"/>
  <c r="U213" i="1"/>
  <c r="U220" i="1" s="1"/>
  <c r="H215" i="1"/>
  <c r="AA656" i="1"/>
  <c r="Y398" i="1"/>
  <c r="X216" i="1"/>
  <c r="U215" i="1"/>
  <c r="P649" i="1"/>
  <c r="P269" i="1"/>
  <c r="Z215" i="1"/>
  <c r="Z220" i="1" s="1"/>
  <c r="S569" i="1"/>
  <c r="Z254" i="1"/>
  <c r="U665" i="1"/>
  <c r="Z253" i="1"/>
  <c r="AD419" i="1"/>
  <c r="AJ440" i="1"/>
  <c r="AJ580" i="1"/>
  <c r="AD377" i="1"/>
  <c r="AJ433" i="1"/>
  <c r="L659" i="1"/>
  <c r="L208" i="1"/>
  <c r="V213" i="1"/>
  <c r="V215" i="1"/>
  <c r="M454" i="1"/>
  <c r="M254" i="1"/>
  <c r="M269" i="1"/>
  <c r="AD477" i="1"/>
  <c r="AD634" i="1" s="1"/>
  <c r="AD469" i="1" s="1"/>
  <c r="AD479" i="1" s="1"/>
  <c r="AD662" i="1" s="1"/>
  <c r="AD61" i="1"/>
  <c r="AD269" i="1"/>
  <c r="AB237" i="1"/>
  <c r="AB436" i="1"/>
  <c r="AB431" i="1"/>
  <c r="AH579" i="1"/>
  <c r="AH568" i="1"/>
  <c r="H180" i="1"/>
  <c r="H186" i="1" s="1"/>
  <c r="H188" i="1" s="1"/>
  <c r="H658" i="1"/>
  <c r="O213" i="1"/>
  <c r="O424" i="1"/>
  <c r="O428" i="1" s="1"/>
  <c r="X419" i="1"/>
  <c r="X191" i="1"/>
  <c r="X197" i="1" s="1"/>
  <c r="T213" i="1"/>
  <c r="T424" i="1"/>
  <c r="T428" i="1" s="1"/>
  <c r="T216" i="1"/>
  <c r="T215" i="1"/>
  <c r="AF149" i="1"/>
  <c r="AF156" i="1" s="1"/>
  <c r="AF167" i="1" s="1"/>
  <c r="AF377" i="1"/>
  <c r="Z377" i="1"/>
  <c r="Z159" i="1"/>
  <c r="Z165" i="1" s="1"/>
  <c r="Y657" i="1"/>
  <c r="Y170" i="1"/>
  <c r="Y177" i="1" s="1"/>
  <c r="AA191" i="1"/>
  <c r="AA197" i="1" s="1"/>
  <c r="AA659" i="1"/>
  <c r="Z419" i="1"/>
  <c r="W659" i="1"/>
  <c r="W191" i="1"/>
  <c r="W197" i="1" s="1"/>
  <c r="W208" i="1" s="1"/>
  <c r="Q659" i="1"/>
  <c r="Q191" i="1"/>
  <c r="Q197" i="1" s="1"/>
  <c r="Q208" i="1" s="1"/>
  <c r="O215" i="1"/>
  <c r="Z656" i="1"/>
  <c r="AD455" i="1"/>
  <c r="T180" i="1"/>
  <c r="T186" i="1" s="1"/>
  <c r="T188" i="1" s="1"/>
  <c r="T398" i="1"/>
  <c r="AA215" i="1"/>
  <c r="AA216" i="1"/>
  <c r="AA424" i="1"/>
  <c r="AA428" i="1" s="1"/>
  <c r="M398" i="1"/>
  <c r="M170" i="1"/>
  <c r="M177" i="1" s="1"/>
  <c r="M188" i="1" s="1"/>
  <c r="T191" i="1"/>
  <c r="T197" i="1" s="1"/>
  <c r="T208" i="1" s="1"/>
  <c r="T419" i="1"/>
  <c r="P419" i="1"/>
  <c r="P191" i="1"/>
  <c r="P197" i="1" s="1"/>
  <c r="V377" i="1"/>
  <c r="V149" i="1"/>
  <c r="V156" i="1" s="1"/>
  <c r="V167" i="1" s="1"/>
  <c r="AF191" i="1"/>
  <c r="AF197" i="1" s="1"/>
  <c r="AF208" i="1" s="1"/>
  <c r="AF419" i="1"/>
  <c r="AF659" i="1"/>
  <c r="J665" i="1"/>
  <c r="J579" i="1"/>
  <c r="J569" i="1"/>
  <c r="P159" i="1"/>
  <c r="P165" i="1" s="1"/>
  <c r="X659" i="1"/>
  <c r="AJ215" i="1"/>
  <c r="J567" i="1"/>
  <c r="AD252" i="1"/>
  <c r="T214" i="1"/>
  <c r="O216" i="1"/>
  <c r="T659" i="1"/>
  <c r="V655" i="1"/>
  <c r="AA214" i="1"/>
  <c r="Y180" i="1"/>
  <c r="Y186" i="1" s="1"/>
  <c r="U436" i="1"/>
  <c r="U439" i="1"/>
  <c r="U437" i="1"/>
  <c r="U571" i="1"/>
  <c r="U432" i="1"/>
  <c r="AF658" i="1"/>
  <c r="AF180" i="1"/>
  <c r="AF186" i="1" s="1"/>
  <c r="AF188" i="1" s="1"/>
  <c r="I269" i="1"/>
  <c r="I581" i="1"/>
  <c r="L477" i="1"/>
  <c r="L634" i="1" s="1"/>
  <c r="L469" i="1" s="1"/>
  <c r="L479" i="1" s="1"/>
  <c r="L134" i="1"/>
  <c r="L125" i="1"/>
  <c r="L252" i="1"/>
  <c r="L63" i="1"/>
  <c r="Z103" i="1"/>
  <c r="Z481" i="1"/>
  <c r="Z63" i="1"/>
  <c r="Z572" i="1"/>
  <c r="Z125" i="1"/>
  <c r="Z269" i="1"/>
  <c r="Z581" i="1"/>
  <c r="Z454" i="1"/>
  <c r="AB191" i="1"/>
  <c r="AB197" i="1" s="1"/>
  <c r="AB208" i="1" s="1"/>
  <c r="AJ570" i="1"/>
  <c r="AJ432" i="1"/>
  <c r="AJ230" i="1"/>
  <c r="AJ101" i="1"/>
  <c r="AJ438" i="1"/>
  <c r="AJ431" i="1"/>
  <c r="AJ439" i="1"/>
  <c r="AJ434" i="1"/>
  <c r="Q398" i="1"/>
  <c r="Z47" i="1"/>
  <c r="Z73" i="1" s="1"/>
  <c r="AB419" i="1"/>
  <c r="S135" i="1"/>
  <c r="P61" i="1"/>
  <c r="P134" i="1"/>
  <c r="Z424" i="1"/>
  <c r="Z428" i="1" s="1"/>
  <c r="S567" i="1"/>
  <c r="AJ571" i="1"/>
  <c r="Q419" i="1"/>
  <c r="AJ436" i="1"/>
  <c r="I442" i="1"/>
  <c r="I660" i="1" s="1"/>
  <c r="AJ238" i="1"/>
  <c r="AK265" i="1"/>
  <c r="AL265" i="1" s="1"/>
  <c r="M252" i="1"/>
  <c r="Q437" i="1"/>
  <c r="AC377" i="1"/>
  <c r="P63" i="1"/>
  <c r="P103" i="1"/>
  <c r="P125" i="1"/>
  <c r="M572" i="1"/>
  <c r="AA634" i="1"/>
  <c r="AA469" i="1" s="1"/>
  <c r="AA479" i="1" s="1"/>
  <c r="AA261" i="1" s="1"/>
  <c r="Q231" i="1"/>
  <c r="L170" i="1"/>
  <c r="L177" i="1" s="1"/>
  <c r="L103" i="1"/>
  <c r="L649" i="1"/>
  <c r="J377" i="1"/>
  <c r="M253" i="1"/>
  <c r="Q431" i="1"/>
  <c r="K72" i="1"/>
  <c r="AB180" i="1"/>
  <c r="AB186" i="1" s="1"/>
  <c r="O580" i="1"/>
  <c r="AJ159" i="1"/>
  <c r="AJ165" i="1" s="1"/>
  <c r="AC656" i="1"/>
  <c r="M125" i="1"/>
  <c r="Q432" i="1"/>
  <c r="U180" i="1"/>
  <c r="U186" i="1" s="1"/>
  <c r="U188" i="1" s="1"/>
  <c r="Q102" i="1"/>
  <c r="Q435" i="1"/>
  <c r="T658" i="1"/>
  <c r="L398" i="1"/>
  <c r="M72" i="1"/>
  <c r="K253" i="1"/>
  <c r="AA167" i="1"/>
  <c r="M103" i="1"/>
  <c r="U634" i="1"/>
  <c r="U469" i="1" s="1"/>
  <c r="U479" i="1" s="1"/>
  <c r="U261" i="1" s="1"/>
  <c r="U658" i="1"/>
  <c r="Q438" i="1"/>
  <c r="S191" i="1"/>
  <c r="S197" i="1" s="1"/>
  <c r="S208" i="1" s="1"/>
  <c r="J149" i="1"/>
  <c r="J156" i="1" s="1"/>
  <c r="J167" i="1" s="1"/>
  <c r="M581" i="1"/>
  <c r="Z208" i="1"/>
  <c r="O377" i="1"/>
  <c r="T134" i="1"/>
  <c r="T477" i="1"/>
  <c r="T634" i="1" s="1"/>
  <c r="T469" i="1" s="1"/>
  <c r="T479" i="1" s="1"/>
  <c r="T662" i="1" s="1"/>
  <c r="T454" i="1"/>
  <c r="T581" i="1"/>
  <c r="T583" i="1" s="1"/>
  <c r="F369" i="2" s="1"/>
  <c r="G369" i="2" s="1"/>
  <c r="J252" i="1"/>
  <c r="J455" i="1"/>
  <c r="AJ170" i="1"/>
  <c r="AJ177" i="1" s="1"/>
  <c r="AJ188" i="1" s="1"/>
  <c r="AJ398" i="1"/>
  <c r="AJ421" i="1" s="1"/>
  <c r="AJ657" i="1"/>
  <c r="Q254" i="1"/>
  <c r="Q253" i="1"/>
  <c r="Q481" i="1"/>
  <c r="Q252" i="1"/>
  <c r="Q269" i="1"/>
  <c r="Q581" i="1"/>
  <c r="Q583" i="1" s="1"/>
  <c r="F362" i="2" s="1"/>
  <c r="Q134" i="1"/>
  <c r="Q103" i="1"/>
  <c r="Q61" i="1"/>
  <c r="K659" i="1"/>
  <c r="K419" i="1"/>
  <c r="K149" i="1"/>
  <c r="K655" i="1"/>
  <c r="P377" i="1"/>
  <c r="P149" i="1"/>
  <c r="P156" i="1" s="1"/>
  <c r="P167" i="1" s="1"/>
  <c r="P655" i="1"/>
  <c r="X159" i="1"/>
  <c r="X165" i="1" s="1"/>
  <c r="X167" i="1" s="1"/>
  <c r="X377" i="1"/>
  <c r="L159" i="1"/>
  <c r="L165" i="1" s="1"/>
  <c r="L656" i="1"/>
  <c r="L377" i="1"/>
  <c r="W657" i="1"/>
  <c r="W398" i="1"/>
  <c r="AA180" i="1"/>
  <c r="AA186" i="1" s="1"/>
  <c r="AA658" i="1"/>
  <c r="AD180" i="1"/>
  <c r="AD186" i="1" s="1"/>
  <c r="AD188" i="1" s="1"/>
  <c r="AD658" i="1"/>
  <c r="AD398" i="1"/>
  <c r="AJ419" i="1"/>
  <c r="AJ659" i="1"/>
  <c r="AJ191" i="1"/>
  <c r="AJ197" i="1" s="1"/>
  <c r="AJ208" i="1" s="1"/>
  <c r="AK263" i="1"/>
  <c r="AL263" i="1" s="1"/>
  <c r="Q149" i="1"/>
  <c r="Q156" i="1" s="1"/>
  <c r="T125" i="1"/>
  <c r="W170" i="1"/>
  <c r="W177" i="1" s="1"/>
  <c r="AK267" i="1"/>
  <c r="AL267" i="1" s="1"/>
  <c r="Q125" i="1"/>
  <c r="H216" i="1"/>
  <c r="H213" i="1"/>
  <c r="H424" i="1"/>
  <c r="H428" i="1" s="1"/>
  <c r="Y424" i="1"/>
  <c r="Y428" i="1" s="1"/>
  <c r="Y215" i="1"/>
  <c r="U662" i="1"/>
  <c r="AB231" i="1"/>
  <c r="AB439" i="1"/>
  <c r="AJ424" i="1"/>
  <c r="AJ428" i="1" s="1"/>
  <c r="AJ216" i="1"/>
  <c r="AJ213" i="1"/>
  <c r="AH569" i="1"/>
  <c r="AH665" i="1"/>
  <c r="AH567" i="1"/>
  <c r="Q649" i="1"/>
  <c r="M149" i="1"/>
  <c r="M156" i="1" s="1"/>
  <c r="M167" i="1" s="1"/>
  <c r="M655" i="1"/>
  <c r="P657" i="1"/>
  <c r="P170" i="1"/>
  <c r="P177" i="1" s="1"/>
  <c r="Q159" i="1"/>
  <c r="Q165" i="1" s="1"/>
  <c r="Q656" i="1"/>
  <c r="Q47" i="1"/>
  <c r="Q9" i="1" s="1"/>
  <c r="K191" i="1"/>
  <c r="K197" i="1" s="1"/>
  <c r="K208" i="1" s="1"/>
  <c r="Q655" i="1"/>
  <c r="T455" i="1"/>
  <c r="AH47" i="1"/>
  <c r="AH60" i="1" s="1"/>
  <c r="AA568" i="1"/>
  <c r="M377" i="1"/>
  <c r="AB440" i="1"/>
  <c r="K377" i="1"/>
  <c r="I234" i="1"/>
  <c r="K170" i="1"/>
  <c r="K657" i="1"/>
  <c r="L424" i="1"/>
  <c r="L428" i="1" s="1"/>
  <c r="L213" i="1"/>
  <c r="V659" i="1"/>
  <c r="S419" i="1"/>
  <c r="U238" i="1"/>
  <c r="U101" i="1"/>
  <c r="U570" i="1"/>
  <c r="U433" i="1"/>
  <c r="U431" i="1"/>
  <c r="U434" i="1"/>
  <c r="U102" i="1"/>
  <c r="U650" i="1"/>
  <c r="U440" i="1"/>
  <c r="U435" i="1"/>
  <c r="I63" i="1"/>
  <c r="I125" i="1"/>
  <c r="I254" i="1"/>
  <c r="I477" i="1"/>
  <c r="I634" i="1" s="1"/>
  <c r="I469" i="1" s="1"/>
  <c r="I479" i="1" s="1"/>
  <c r="I572" i="1"/>
  <c r="I649" i="1"/>
  <c r="I61" i="1"/>
  <c r="I103" i="1"/>
  <c r="I481" i="1"/>
  <c r="I135" i="1"/>
  <c r="AF398" i="1"/>
  <c r="Y655" i="1"/>
  <c r="Y149" i="1"/>
  <c r="Y156" i="1" s="1"/>
  <c r="Y167" i="1" s="1"/>
  <c r="Y377" i="1"/>
  <c r="AA398" i="1"/>
  <c r="K180" i="1"/>
  <c r="K186" i="1" s="1"/>
  <c r="K658" i="1"/>
  <c r="AA419" i="1"/>
  <c r="M61" i="1"/>
  <c r="K649" i="1"/>
  <c r="S215" i="1"/>
  <c r="AF655" i="1"/>
  <c r="O665" i="1"/>
  <c r="J47" i="1"/>
  <c r="J126" i="1" s="1"/>
  <c r="M135" i="1"/>
  <c r="M477" i="1"/>
  <c r="M634" i="1" s="1"/>
  <c r="M469" i="1" s="1"/>
  <c r="M479" i="1" s="1"/>
  <c r="Q436" i="1"/>
  <c r="Q571" i="1"/>
  <c r="V214" i="1"/>
  <c r="AK301" i="1"/>
  <c r="AL301" i="1" s="1"/>
  <c r="AA657" i="1"/>
  <c r="M481" i="1"/>
  <c r="M483" i="1" s="1"/>
  <c r="M134" i="1"/>
  <c r="L658" i="1"/>
  <c r="L180" i="1"/>
  <c r="L186" i="1" s="1"/>
  <c r="AD159" i="1"/>
  <c r="AD165" i="1" s="1"/>
  <c r="AD167" i="1" s="1"/>
  <c r="AD656" i="1"/>
  <c r="AA208" i="1"/>
  <c r="AH442" i="1"/>
  <c r="AH236" i="1" s="1"/>
  <c r="Z167" i="1"/>
  <c r="AJ656" i="1"/>
  <c r="X442" i="1"/>
  <c r="X227" i="1" s="1"/>
  <c r="AB398" i="1"/>
  <c r="M63" i="1"/>
  <c r="M649" i="1"/>
  <c r="O419" i="1"/>
  <c r="O191" i="1"/>
  <c r="O197" i="1" s="1"/>
  <c r="O208" i="1" s="1"/>
  <c r="AA170" i="1"/>
  <c r="AA177" i="1" s="1"/>
  <c r="P208" i="1"/>
  <c r="S442" i="1"/>
  <c r="S225" i="1" s="1"/>
  <c r="H398" i="1"/>
  <c r="AK474" i="1"/>
  <c r="AL474" i="1" s="1"/>
  <c r="AJ149" i="1"/>
  <c r="AJ156" i="1" s="1"/>
  <c r="AJ655" i="1"/>
  <c r="S657" i="1"/>
  <c r="S170" i="1"/>
  <c r="S177" i="1" s="1"/>
  <c r="S188" i="1" s="1"/>
  <c r="Y659" i="1"/>
  <c r="Y419" i="1"/>
  <c r="AF580" i="1"/>
  <c r="AF435" i="1"/>
  <c r="AF231" i="1"/>
  <c r="AF230" i="1"/>
  <c r="AF432" i="1"/>
  <c r="AF237" i="1"/>
  <c r="AF101" i="1"/>
  <c r="AF436" i="1"/>
  <c r="AF440" i="1"/>
  <c r="AF437" i="1"/>
  <c r="AF433" i="1"/>
  <c r="AF434" i="1"/>
  <c r="AF438" i="1"/>
  <c r="AF570" i="1"/>
  <c r="AF571" i="1"/>
  <c r="AF238" i="1"/>
  <c r="AF650" i="1"/>
  <c r="AF431" i="1"/>
  <c r="AC419" i="1"/>
  <c r="AC191" i="1"/>
  <c r="AC197" i="1" s="1"/>
  <c r="AC208" i="1" s="1"/>
  <c r="AC659" i="1"/>
  <c r="L568" i="1"/>
  <c r="L579" i="1"/>
  <c r="L567" i="1"/>
  <c r="L569" i="1"/>
  <c r="AH180" i="1"/>
  <c r="AH186" i="1" s="1"/>
  <c r="AH658" i="1"/>
  <c r="O440" i="1"/>
  <c r="O438" i="1"/>
  <c r="O230" i="1"/>
  <c r="O431" i="1"/>
  <c r="O650" i="1"/>
  <c r="O231" i="1"/>
  <c r="O433" i="1"/>
  <c r="AK247" i="1"/>
  <c r="AL247" i="1" s="1"/>
  <c r="W633" i="1"/>
  <c r="W445" i="1" s="1"/>
  <c r="W457" i="1" s="1"/>
  <c r="F574" i="2"/>
  <c r="F677" i="2" s="1"/>
  <c r="F819" i="2" s="1"/>
  <c r="L665" i="1"/>
  <c r="W572" i="1"/>
  <c r="X208" i="1"/>
  <c r="K63" i="1"/>
  <c r="K581" i="1"/>
  <c r="K103" i="1"/>
  <c r="W167" i="1"/>
  <c r="L214" i="1"/>
  <c r="O102" i="1"/>
  <c r="AA569" i="1"/>
  <c r="T149" i="1"/>
  <c r="T156" i="1" s="1"/>
  <c r="T167" i="1" s="1"/>
  <c r="AD214" i="1"/>
  <c r="AD581" i="1"/>
  <c r="AD583" i="1" s="1"/>
  <c r="F391" i="2" s="1"/>
  <c r="G391" i="2" s="1"/>
  <c r="O570" i="1"/>
  <c r="AD47" i="1"/>
  <c r="AD8" i="1" s="1"/>
  <c r="AK264" i="1"/>
  <c r="AL264" i="1" s="1"/>
  <c r="AK266" i="1"/>
  <c r="AL266" i="1" s="1"/>
  <c r="AA442" i="1"/>
  <c r="AA232" i="1" s="1"/>
  <c r="AC220" i="1"/>
  <c r="W72" i="1"/>
  <c r="O101" i="1"/>
  <c r="W269" i="1"/>
  <c r="I72" i="1"/>
  <c r="I252" i="1"/>
  <c r="M214" i="1"/>
  <c r="M220" i="1" s="1"/>
  <c r="L149" i="1"/>
  <c r="L156" i="1" s="1"/>
  <c r="L655" i="1"/>
  <c r="O159" i="1"/>
  <c r="O165" i="1" s="1"/>
  <c r="O656" i="1"/>
  <c r="W180" i="1"/>
  <c r="W186" i="1" s="1"/>
  <c r="W658" i="1"/>
  <c r="K159" i="1"/>
  <c r="K165" i="1" s="1"/>
  <c r="K656" i="1"/>
  <c r="L253" i="1"/>
  <c r="L72" i="1"/>
  <c r="L135" i="1"/>
  <c r="L269" i="1"/>
  <c r="L455" i="1"/>
  <c r="L581" i="1"/>
  <c r="L454" i="1"/>
  <c r="L633" i="1" s="1"/>
  <c r="L445" i="1" s="1"/>
  <c r="L457" i="1" s="1"/>
  <c r="Z649" i="1"/>
  <c r="Z134" i="1"/>
  <c r="Z455" i="1"/>
  <c r="Z633" i="1" s="1"/>
  <c r="Z445" i="1" s="1"/>
  <c r="Z457" i="1" s="1"/>
  <c r="AD208" i="1"/>
  <c r="Z170" i="1"/>
  <c r="Z177" i="1" s="1"/>
  <c r="Z188" i="1" s="1"/>
  <c r="Z657" i="1"/>
  <c r="W61" i="1"/>
  <c r="W125" i="1"/>
  <c r="AD103" i="1"/>
  <c r="AD72" i="1"/>
  <c r="AD253" i="1"/>
  <c r="AD125" i="1"/>
  <c r="AD254" i="1"/>
  <c r="AD454" i="1"/>
  <c r="AD633" i="1" s="1"/>
  <c r="AD445" i="1" s="1"/>
  <c r="AD457" i="1" s="1"/>
  <c r="AK449" i="1"/>
  <c r="AL449" i="1" s="1"/>
  <c r="K134" i="1"/>
  <c r="K477" i="1"/>
  <c r="K135" i="1"/>
  <c r="K216" i="1"/>
  <c r="L215" i="1"/>
  <c r="L216" i="1"/>
  <c r="Y214" i="1"/>
  <c r="O237" i="1"/>
  <c r="O435" i="1"/>
  <c r="AA665" i="1"/>
  <c r="AA579" i="1"/>
  <c r="W252" i="1"/>
  <c r="W477" i="1"/>
  <c r="W634" i="1" s="1"/>
  <c r="W469" i="1" s="1"/>
  <c r="W479" i="1" s="1"/>
  <c r="AD649" i="1"/>
  <c r="O571" i="1"/>
  <c r="AD213" i="1"/>
  <c r="T377" i="1"/>
  <c r="AD135" i="1"/>
  <c r="AF102" i="1"/>
  <c r="K442" i="1"/>
  <c r="K226" i="1" s="1"/>
  <c r="AD63" i="1"/>
  <c r="W481" i="1"/>
  <c r="W649" i="1"/>
  <c r="W63" i="1"/>
  <c r="X180" i="1"/>
  <c r="X186" i="1" s="1"/>
  <c r="X658" i="1"/>
  <c r="J180" i="1"/>
  <c r="J186" i="1" s="1"/>
  <c r="J188" i="1" s="1"/>
  <c r="J658" i="1"/>
  <c r="O655" i="1"/>
  <c r="O149" i="1"/>
  <c r="O156" i="1" s="1"/>
  <c r="Q135" i="1"/>
  <c r="Q477" i="1"/>
  <c r="Q72" i="1"/>
  <c r="Q63" i="1"/>
  <c r="Q572" i="1"/>
  <c r="Q455" i="1"/>
  <c r="Q633" i="1" s="1"/>
  <c r="Q445" i="1" s="1"/>
  <c r="Q457" i="1" s="1"/>
  <c r="K455" i="1"/>
  <c r="K633" i="1" s="1"/>
  <c r="K445" i="1" s="1"/>
  <c r="K457" i="1" s="1"/>
  <c r="K252" i="1"/>
  <c r="Z398" i="1"/>
  <c r="O434" i="1"/>
  <c r="AA47" i="1"/>
  <c r="AA104" i="1" s="1"/>
  <c r="V208" i="1"/>
  <c r="W377" i="1"/>
  <c r="O437" i="1"/>
  <c r="O238" i="1"/>
  <c r="AD134" i="1"/>
  <c r="W656" i="1"/>
  <c r="Q634" i="1"/>
  <c r="Q469" i="1" s="1"/>
  <c r="Q479" i="1" s="1"/>
  <c r="O436" i="1"/>
  <c r="AD572" i="1"/>
  <c r="AD442" i="1"/>
  <c r="AD228" i="1" s="1"/>
  <c r="W254" i="1"/>
  <c r="W135" i="1"/>
  <c r="V216" i="1"/>
  <c r="V424" i="1"/>
  <c r="V428" i="1" s="1"/>
  <c r="AB149" i="1"/>
  <c r="AB156" i="1" s="1"/>
  <c r="AB167" i="1" s="1"/>
  <c r="AB655" i="1"/>
  <c r="AB377" i="1"/>
  <c r="I656" i="1"/>
  <c r="I159" i="1"/>
  <c r="I165" i="1" s="1"/>
  <c r="I377" i="1"/>
  <c r="M442" i="1"/>
  <c r="M232" i="1" s="1"/>
  <c r="L580" i="1"/>
  <c r="L583" i="1" s="1"/>
  <c r="F355" i="2" s="1"/>
  <c r="G355" i="2" s="1"/>
  <c r="L571" i="1"/>
  <c r="L238" i="1"/>
  <c r="L47" i="1"/>
  <c r="L648" i="1" s="1"/>
  <c r="L434" i="1"/>
  <c r="L230" i="1"/>
  <c r="L439" i="1"/>
  <c r="L231" i="1"/>
  <c r="L237" i="1"/>
  <c r="L650" i="1"/>
  <c r="L431" i="1"/>
  <c r="L435" i="1"/>
  <c r="L433" i="1"/>
  <c r="L432" i="1"/>
  <c r="L437" i="1"/>
  <c r="L438" i="1"/>
  <c r="L440" i="1"/>
  <c r="L102" i="1"/>
  <c r="L570" i="1"/>
  <c r="L436" i="1"/>
  <c r="L101" i="1"/>
  <c r="P216" i="1"/>
  <c r="P424" i="1"/>
  <c r="P428" i="1" s="1"/>
  <c r="U125" i="1"/>
  <c r="U572" i="1"/>
  <c r="U454" i="1"/>
  <c r="U481" i="1"/>
  <c r="U63" i="1"/>
  <c r="AA633" i="1"/>
  <c r="AA445" i="1" s="1"/>
  <c r="AA457" i="1" s="1"/>
  <c r="AA661" i="1" s="1"/>
  <c r="K213" i="1"/>
  <c r="J103" i="1"/>
  <c r="T61" i="1"/>
  <c r="T254" i="1"/>
  <c r="T253" i="1"/>
  <c r="T572" i="1"/>
  <c r="AC167" i="1"/>
  <c r="O47" i="1"/>
  <c r="O60" i="1" s="1"/>
  <c r="O569" i="1"/>
  <c r="AA583" i="1"/>
  <c r="F381" i="2" s="1"/>
  <c r="U47" i="1"/>
  <c r="U73" i="1" s="1"/>
  <c r="AK268" i="1"/>
  <c r="AL268" i="1" s="1"/>
  <c r="AK475" i="1"/>
  <c r="AL475" i="1" s="1"/>
  <c r="AK630" i="1"/>
  <c r="AL630" i="1" s="1"/>
  <c r="S167" i="1"/>
  <c r="P214" i="1"/>
  <c r="O214" i="1"/>
  <c r="U72" i="1"/>
  <c r="U269" i="1"/>
  <c r="AK248" i="1"/>
  <c r="AL248" i="1" s="1"/>
  <c r="U649" i="1"/>
  <c r="U134" i="1"/>
  <c r="AC437" i="1"/>
  <c r="AC230" i="1"/>
  <c r="AC435" i="1"/>
  <c r="AC238" i="1"/>
  <c r="AC102" i="1"/>
  <c r="AC237" i="1"/>
  <c r="AC101" i="1"/>
  <c r="AC439" i="1"/>
  <c r="AC432" i="1"/>
  <c r="AC580" i="1"/>
  <c r="AC436" i="1"/>
  <c r="AC570" i="1"/>
  <c r="AC231" i="1"/>
  <c r="AC433" i="1"/>
  <c r="AC434" i="1"/>
  <c r="AC440" i="1"/>
  <c r="AC571" i="1"/>
  <c r="AC438" i="1"/>
  <c r="AC431" i="1"/>
  <c r="AC650" i="1"/>
  <c r="K569" i="1"/>
  <c r="K567" i="1"/>
  <c r="K665" i="1"/>
  <c r="K568" i="1"/>
  <c r="K579" i="1"/>
  <c r="Y216" i="1"/>
  <c r="Y213" i="1"/>
  <c r="X398" i="1"/>
  <c r="X657" i="1"/>
  <c r="X170" i="1"/>
  <c r="X177" i="1" s="1"/>
  <c r="Q230" i="1"/>
  <c r="Q434" i="1"/>
  <c r="Q440" i="1"/>
  <c r="Q238" i="1"/>
  <c r="Q237" i="1"/>
  <c r="Q101" i="1"/>
  <c r="Q439" i="1"/>
  <c r="AA188" i="1"/>
  <c r="AA210" i="1" s="1"/>
  <c r="K152" i="1"/>
  <c r="AK152" i="1" s="1"/>
  <c r="AL152" i="1" s="1"/>
  <c r="S252" i="1"/>
  <c r="S63" i="1"/>
  <c r="S649" i="1"/>
  <c r="S269" i="1"/>
  <c r="S454" i="1"/>
  <c r="S633" i="1" s="1"/>
  <c r="S445" i="1" s="1"/>
  <c r="S457" i="1" s="1"/>
  <c r="S572" i="1"/>
  <c r="S481" i="1"/>
  <c r="S254" i="1"/>
  <c r="S103" i="1"/>
  <c r="J481" i="1"/>
  <c r="T103" i="1"/>
  <c r="T47" i="1"/>
  <c r="T10" i="1" s="1"/>
  <c r="T63" i="1"/>
  <c r="T72" i="1"/>
  <c r="O188" i="1"/>
  <c r="O579" i="1"/>
  <c r="O567" i="1"/>
  <c r="AK470" i="1"/>
  <c r="AL470" i="1" s="1"/>
  <c r="AK471" i="1"/>
  <c r="AL471" i="1" s="1"/>
  <c r="P213" i="1"/>
  <c r="U135" i="1"/>
  <c r="U581" i="1"/>
  <c r="U583" i="1" s="1"/>
  <c r="F372" i="2" s="1"/>
  <c r="U455" i="1"/>
  <c r="AB580" i="1"/>
  <c r="AB432" i="1"/>
  <c r="AB433" i="1"/>
  <c r="AB571" i="1"/>
  <c r="AB650" i="1"/>
  <c r="AB570" i="1"/>
  <c r="AB238" i="1"/>
  <c r="AB230" i="1"/>
  <c r="AB102" i="1"/>
  <c r="AB434" i="1"/>
  <c r="AB437" i="1"/>
  <c r="AB435" i="1"/>
  <c r="AB101" i="1"/>
  <c r="AB438" i="1"/>
  <c r="P567" i="1"/>
  <c r="P569" i="1"/>
  <c r="P665" i="1"/>
  <c r="P579" i="1"/>
  <c r="P568" i="1"/>
  <c r="T252" i="1"/>
  <c r="T269" i="1"/>
  <c r="T135" i="1"/>
  <c r="K634" i="1"/>
  <c r="K469" i="1" s="1"/>
  <c r="K479" i="1" s="1"/>
  <c r="K662" i="1" s="1"/>
  <c r="AK494" i="1"/>
  <c r="AL494" i="1" s="1"/>
  <c r="M633" i="1"/>
  <c r="M445" i="1" s="1"/>
  <c r="M457" i="1" s="1"/>
  <c r="M243" i="1" s="1"/>
  <c r="P215" i="1"/>
  <c r="U254" i="1"/>
  <c r="U103" i="1"/>
  <c r="U61" i="1"/>
  <c r="X229" i="1"/>
  <c r="AJ61" i="1"/>
  <c r="AJ477" i="1"/>
  <c r="AJ634" i="1" s="1"/>
  <c r="AJ469" i="1" s="1"/>
  <c r="AJ479" i="1" s="1"/>
  <c r="AJ261" i="1" s="1"/>
  <c r="AJ572" i="1"/>
  <c r="AJ254" i="1"/>
  <c r="AJ252" i="1"/>
  <c r="AJ135" i="1"/>
  <c r="AJ581" i="1"/>
  <c r="AJ269" i="1"/>
  <c r="AJ125" i="1"/>
  <c r="AJ72" i="1"/>
  <c r="AJ134" i="1"/>
  <c r="AJ649" i="1"/>
  <c r="AJ103" i="1"/>
  <c r="AJ455" i="1"/>
  <c r="AJ633" i="1" s="1"/>
  <c r="AJ445" i="1" s="1"/>
  <c r="AJ457" i="1" s="1"/>
  <c r="AJ481" i="1"/>
  <c r="AJ63" i="1"/>
  <c r="P180" i="1"/>
  <c r="P186" i="1" s="1"/>
  <c r="P658" i="1"/>
  <c r="AA660" i="1"/>
  <c r="AF63" i="1"/>
  <c r="AF61" i="1"/>
  <c r="AF572" i="1"/>
  <c r="AF481" i="1"/>
  <c r="AF72" i="1"/>
  <c r="AF253" i="1"/>
  <c r="AF477" i="1"/>
  <c r="AF634" i="1" s="1"/>
  <c r="AF469" i="1" s="1"/>
  <c r="AF479" i="1" s="1"/>
  <c r="AF134" i="1"/>
  <c r="AF581" i="1"/>
  <c r="AF252" i="1"/>
  <c r="AF269" i="1"/>
  <c r="AF125" i="1"/>
  <c r="AF455" i="1"/>
  <c r="AF633" i="1" s="1"/>
  <c r="AF445" i="1" s="1"/>
  <c r="AF457" i="1" s="1"/>
  <c r="AF47" i="1"/>
  <c r="AF73" i="1" s="1"/>
  <c r="AF254" i="1"/>
  <c r="AJ253" i="1"/>
  <c r="G528" i="2"/>
  <c r="AK453" i="1"/>
  <c r="AL453" i="1" s="1"/>
  <c r="G527" i="2"/>
  <c r="G526" i="2"/>
  <c r="AK251" i="1"/>
  <c r="AL251" i="1" s="1"/>
  <c r="AK509" i="1"/>
  <c r="AL509" i="1" s="1"/>
  <c r="AF135" i="1"/>
  <c r="T442" i="1"/>
  <c r="T235" i="1" s="1"/>
  <c r="AH220" i="1"/>
  <c r="AJ47" i="1"/>
  <c r="AJ57" i="1" s="1"/>
  <c r="P398" i="1"/>
  <c r="AA227" i="1"/>
  <c r="M234" i="1"/>
  <c r="W437" i="1"/>
  <c r="W231" i="1"/>
  <c r="W435" i="1"/>
  <c r="W580" i="1"/>
  <c r="W583" i="1" s="1"/>
  <c r="F374" i="2" s="1"/>
  <c r="W438" i="1"/>
  <c r="W440" i="1"/>
  <c r="W432" i="1"/>
  <c r="W650" i="1"/>
  <c r="W433" i="1"/>
  <c r="W571" i="1"/>
  <c r="W47" i="1"/>
  <c r="W73" i="1" s="1"/>
  <c r="W436" i="1"/>
  <c r="W238" i="1"/>
  <c r="W431" i="1"/>
  <c r="W570" i="1"/>
  <c r="W102" i="1"/>
  <c r="W439" i="1"/>
  <c r="W101" i="1"/>
  <c r="W434" i="1"/>
  <c r="W237" i="1"/>
  <c r="W230" i="1"/>
  <c r="H436" i="1"/>
  <c r="H238" i="1"/>
  <c r="H435" i="1"/>
  <c r="H438" i="1"/>
  <c r="H432" i="1"/>
  <c r="H580" i="1"/>
  <c r="H230" i="1"/>
  <c r="H433" i="1"/>
  <c r="H437" i="1"/>
  <c r="H570" i="1"/>
  <c r="H431" i="1"/>
  <c r="H102" i="1"/>
  <c r="H440" i="1"/>
  <c r="H650" i="1"/>
  <c r="H231" i="1"/>
  <c r="H439" i="1"/>
  <c r="H237" i="1"/>
  <c r="H434" i="1"/>
  <c r="H571" i="1"/>
  <c r="H101" i="1"/>
  <c r="J237" i="1"/>
  <c r="J438" i="1"/>
  <c r="J102" i="1"/>
  <c r="J571" i="1"/>
  <c r="J437" i="1"/>
  <c r="J436" i="1"/>
  <c r="J433" i="1"/>
  <c r="J230" i="1"/>
  <c r="J439" i="1"/>
  <c r="J435" i="1"/>
  <c r="J434" i="1"/>
  <c r="J580" i="1"/>
  <c r="J231" i="1"/>
  <c r="J650" i="1"/>
  <c r="J432" i="1"/>
  <c r="J570" i="1"/>
  <c r="J101" i="1"/>
  <c r="J431" i="1"/>
  <c r="J440" i="1"/>
  <c r="J238" i="1"/>
  <c r="K214" i="1"/>
  <c r="K424" i="1"/>
  <c r="K428" i="1" s="1"/>
  <c r="Y442" i="1"/>
  <c r="Y483" i="1" s="1"/>
  <c r="U191" i="1"/>
  <c r="U197" i="1" s="1"/>
  <c r="U208" i="1" s="1"/>
  <c r="U659" i="1"/>
  <c r="U419" i="1"/>
  <c r="K232" i="1"/>
  <c r="K225" i="1"/>
  <c r="P581" i="1"/>
  <c r="P454" i="1"/>
  <c r="P633" i="1" s="1"/>
  <c r="P445" i="1" s="1"/>
  <c r="P457" i="1" s="1"/>
  <c r="P477" i="1"/>
  <c r="P634" i="1" s="1"/>
  <c r="P469" i="1" s="1"/>
  <c r="P479" i="1" s="1"/>
  <c r="P261" i="1" s="1"/>
  <c r="P572" i="1"/>
  <c r="J659" i="1"/>
  <c r="J191" i="1"/>
  <c r="J197" i="1" s="1"/>
  <c r="J208" i="1" s="1"/>
  <c r="O134" i="1"/>
  <c r="O252" i="1"/>
  <c r="O125" i="1"/>
  <c r="O455" i="1"/>
  <c r="O481" i="1"/>
  <c r="O253" i="1"/>
  <c r="O572" i="1"/>
  <c r="O254" i="1"/>
  <c r="O63" i="1"/>
  <c r="O135" i="1"/>
  <c r="O649" i="1"/>
  <c r="O72" i="1"/>
  <c r="O454" i="1"/>
  <c r="O61" i="1"/>
  <c r="O477" i="1"/>
  <c r="O634" i="1" s="1"/>
  <c r="O469" i="1" s="1"/>
  <c r="O479" i="1" s="1"/>
  <c r="O581" i="1"/>
  <c r="O103" i="1"/>
  <c r="O269" i="1"/>
  <c r="T649" i="1"/>
  <c r="T481" i="1"/>
  <c r="J581" i="1"/>
  <c r="J254" i="1"/>
  <c r="J649" i="1"/>
  <c r="J135" i="1"/>
  <c r="J61" i="1"/>
  <c r="J134" i="1"/>
  <c r="J253" i="1"/>
  <c r="J477" i="1"/>
  <c r="J634" i="1" s="1"/>
  <c r="J469" i="1" s="1"/>
  <c r="J479" i="1" s="1"/>
  <c r="J63" i="1"/>
  <c r="J572" i="1"/>
  <c r="J72" i="1"/>
  <c r="J125" i="1"/>
  <c r="J454" i="1"/>
  <c r="J269" i="1"/>
  <c r="I655" i="1"/>
  <c r="I149" i="1"/>
  <c r="I156" i="1" s="1"/>
  <c r="AK151" i="1"/>
  <c r="AL151" i="1" s="1"/>
  <c r="AA233" i="1"/>
  <c r="AK141" i="1"/>
  <c r="AL141" i="1" s="1"/>
  <c r="J657" i="1"/>
  <c r="AB216" i="1"/>
  <c r="AB424" i="1"/>
  <c r="AB428" i="1" s="1"/>
  <c r="AB213" i="1"/>
  <c r="AB215" i="1"/>
  <c r="AB214" i="1"/>
  <c r="S213" i="1"/>
  <c r="S214" i="1"/>
  <c r="Q214" i="1"/>
  <c r="Q215" i="1"/>
  <c r="Q216" i="1"/>
  <c r="Q213" i="1"/>
  <c r="Q424" i="1"/>
  <c r="Q428" i="1" s="1"/>
  <c r="M419" i="1"/>
  <c r="V650" i="1"/>
  <c r="V580" i="1"/>
  <c r="V433" i="1"/>
  <c r="V230" i="1"/>
  <c r="V440" i="1"/>
  <c r="V432" i="1"/>
  <c r="V238" i="1"/>
  <c r="V435" i="1"/>
  <c r="V102" i="1"/>
  <c r="V438" i="1"/>
  <c r="V439" i="1"/>
  <c r="V431" i="1"/>
  <c r="V436" i="1"/>
  <c r="V437" i="1"/>
  <c r="V237" i="1"/>
  <c r="V571" i="1"/>
  <c r="V231" i="1"/>
  <c r="V570" i="1"/>
  <c r="V434" i="1"/>
  <c r="V101" i="1"/>
  <c r="AB657" i="1"/>
  <c r="AB170" i="1"/>
  <c r="AB177" i="1" s="1"/>
  <c r="AB188" i="1" s="1"/>
  <c r="AC180" i="1"/>
  <c r="AC186" i="1" s="1"/>
  <c r="AC188" i="1" s="1"/>
  <c r="AC658" i="1"/>
  <c r="Y477" i="1"/>
  <c r="Y634" i="1" s="1"/>
  <c r="Y469" i="1" s="1"/>
  <c r="Y479" i="1" s="1"/>
  <c r="Y254" i="1"/>
  <c r="Y269" i="1"/>
  <c r="Y581" i="1"/>
  <c r="Y583" i="1" s="1"/>
  <c r="F376" i="2" s="1"/>
  <c r="I376" i="2" s="1"/>
  <c r="Y455" i="1"/>
  <c r="Y47" i="1"/>
  <c r="Y648" i="1" s="1"/>
  <c r="Y103" i="1"/>
  <c r="Y72" i="1"/>
  <c r="Y649" i="1"/>
  <c r="Y572" i="1"/>
  <c r="Y63" i="1"/>
  <c r="Y125" i="1"/>
  <c r="Y253" i="1"/>
  <c r="Y135" i="1"/>
  <c r="Y61" i="1"/>
  <c r="Y454" i="1"/>
  <c r="Y134" i="1"/>
  <c r="Z634" i="1"/>
  <c r="Z469" i="1" s="1"/>
  <c r="Z479" i="1" s="1"/>
  <c r="J398" i="1"/>
  <c r="J421" i="1" s="1"/>
  <c r="X424" i="1"/>
  <c r="X428" i="1" s="1"/>
  <c r="X214" i="1"/>
  <c r="Z431" i="1"/>
  <c r="Z433" i="1"/>
  <c r="Z102" i="1"/>
  <c r="Z101" i="1"/>
  <c r="Z440" i="1"/>
  <c r="Z650" i="1"/>
  <c r="Z231" i="1"/>
  <c r="Z432" i="1"/>
  <c r="Z439" i="1"/>
  <c r="Z434" i="1"/>
  <c r="Z437" i="1"/>
  <c r="Z237" i="1"/>
  <c r="Z570" i="1"/>
  <c r="Z438" i="1"/>
  <c r="Z580" i="1"/>
  <c r="Z583" i="1" s="1"/>
  <c r="F380" i="2" s="1"/>
  <c r="Z230" i="1"/>
  <c r="Z238" i="1"/>
  <c r="Z435" i="1"/>
  <c r="Z436" i="1"/>
  <c r="Z571" i="1"/>
  <c r="AF568" i="1"/>
  <c r="AF569" i="1"/>
  <c r="AF567" i="1"/>
  <c r="AF579" i="1"/>
  <c r="X213" i="1"/>
  <c r="AF649" i="1"/>
  <c r="AF103" i="1"/>
  <c r="S377" i="1"/>
  <c r="M659" i="1"/>
  <c r="S655" i="1"/>
  <c r="AA229" i="1"/>
  <c r="AA225" i="1"/>
  <c r="S583" i="1"/>
  <c r="F366" i="2" s="1"/>
  <c r="G366" i="2" s="1"/>
  <c r="M568" i="1"/>
  <c r="M47" i="1"/>
  <c r="M648" i="1" s="1"/>
  <c r="M569" i="1"/>
  <c r="M579" i="1"/>
  <c r="M567" i="1"/>
  <c r="AH159" i="1"/>
  <c r="AH165" i="1" s="1"/>
  <c r="AH167" i="1" s="1"/>
  <c r="AH377" i="1"/>
  <c r="AH656" i="1"/>
  <c r="W215" i="1"/>
  <c r="W424" i="1"/>
  <c r="W428" i="1" s="1"/>
  <c r="W214" i="1"/>
  <c r="W216" i="1"/>
  <c r="AH398" i="1"/>
  <c r="AH657" i="1"/>
  <c r="AH170" i="1"/>
  <c r="AH177" i="1" s="1"/>
  <c r="H254" i="1"/>
  <c r="H253" i="1"/>
  <c r="H103" i="1"/>
  <c r="H63" i="1"/>
  <c r="H72" i="1"/>
  <c r="H581" i="1"/>
  <c r="H477" i="1"/>
  <c r="H634" i="1" s="1"/>
  <c r="H469" i="1" s="1"/>
  <c r="H135" i="1"/>
  <c r="H481" i="1"/>
  <c r="H61" i="1"/>
  <c r="H125" i="1"/>
  <c r="H454" i="1"/>
  <c r="H134" i="1"/>
  <c r="H649" i="1"/>
  <c r="H455" i="1"/>
  <c r="H572" i="1"/>
  <c r="H252" i="1"/>
  <c r="H269" i="1"/>
  <c r="K572" i="1"/>
  <c r="K269" i="1"/>
  <c r="K47" i="1"/>
  <c r="K648" i="1" s="1"/>
  <c r="K61" i="1"/>
  <c r="K254" i="1"/>
  <c r="K125" i="1"/>
  <c r="K481" i="1"/>
  <c r="I191" i="1"/>
  <c r="I197" i="1" s="1"/>
  <c r="I208" i="1" s="1"/>
  <c r="I419" i="1"/>
  <c r="AH455" i="1"/>
  <c r="AH135" i="1"/>
  <c r="AH481" i="1"/>
  <c r="AH581" i="1"/>
  <c r="AH254" i="1"/>
  <c r="AH454" i="1"/>
  <c r="AH125" i="1"/>
  <c r="AH269" i="1"/>
  <c r="AH61" i="1"/>
  <c r="AH649" i="1"/>
  <c r="AH63" i="1"/>
  <c r="AH103" i="1"/>
  <c r="AH134" i="1"/>
  <c r="AH477" i="1"/>
  <c r="AH634" i="1" s="1"/>
  <c r="AH469" i="1" s="1"/>
  <c r="AH479" i="1" s="1"/>
  <c r="AH572" i="1"/>
  <c r="AH252" i="1"/>
  <c r="AH253" i="1"/>
  <c r="AH72" i="1"/>
  <c r="AC398" i="1"/>
  <c r="T660" i="1"/>
  <c r="T228" i="1"/>
  <c r="H1025" i="2"/>
  <c r="H1037" i="2" s="1"/>
  <c r="H794" i="2"/>
  <c r="G1115" i="2"/>
  <c r="G1118" i="2" s="1"/>
  <c r="G795" i="2"/>
  <c r="G653" i="2"/>
  <c r="S634" i="1"/>
  <c r="S469" i="1" s="1"/>
  <c r="S479" i="1" s="1"/>
  <c r="AK472" i="1"/>
  <c r="AL472" i="1" s="1"/>
  <c r="G34" i="6"/>
  <c r="R1105" i="2" s="1"/>
  <c r="AK446" i="1"/>
  <c r="AL446" i="1" s="1"/>
  <c r="AK40" i="1"/>
  <c r="AL40" i="1" s="1"/>
  <c r="AB45" i="1"/>
  <c r="AC125" i="1"/>
  <c r="AC254" i="1"/>
  <c r="AC47" i="1"/>
  <c r="AC103" i="1"/>
  <c r="AC134" i="1"/>
  <c r="AC455" i="1"/>
  <c r="AC649" i="1"/>
  <c r="AC269" i="1"/>
  <c r="AC61" i="1"/>
  <c r="AC581" i="1"/>
  <c r="AC135" i="1"/>
  <c r="AC454" i="1"/>
  <c r="AC477" i="1"/>
  <c r="AC634" i="1" s="1"/>
  <c r="AC469" i="1" s="1"/>
  <c r="AC479" i="1" s="1"/>
  <c r="AC252" i="1"/>
  <c r="AC72" i="1"/>
  <c r="AC481" i="1"/>
  <c r="AC63" i="1"/>
  <c r="AC253" i="1"/>
  <c r="AC572" i="1"/>
  <c r="I641" i="1"/>
  <c r="AK639" i="1"/>
  <c r="AL639" i="1" s="1"/>
  <c r="H375" i="1"/>
  <c r="AK369" i="1"/>
  <c r="AL369" i="1" s="1"/>
  <c r="Q105" i="1"/>
  <c r="Q136" i="1"/>
  <c r="Z60" i="1"/>
  <c r="AH10" i="1"/>
  <c r="AH9" i="1"/>
  <c r="AK206" i="1"/>
  <c r="AL206" i="1" s="1"/>
  <c r="F59" i="6"/>
  <c r="H47" i="1"/>
  <c r="H665" i="1"/>
  <c r="H567" i="1"/>
  <c r="H569" i="1"/>
  <c r="H568" i="1"/>
  <c r="AK26" i="1"/>
  <c r="AL26" i="1" s="1"/>
  <c r="H579" i="1"/>
  <c r="U59" i="1"/>
  <c r="AK99" i="1"/>
  <c r="AL99" i="1" s="1"/>
  <c r="X481" i="1"/>
  <c r="X72" i="1"/>
  <c r="X254" i="1"/>
  <c r="X103" i="1"/>
  <c r="X252" i="1"/>
  <c r="X477" i="1"/>
  <c r="X634" i="1" s="1"/>
  <c r="X469" i="1" s="1"/>
  <c r="X479" i="1" s="1"/>
  <c r="X454" i="1"/>
  <c r="X63" i="1"/>
  <c r="X455" i="1"/>
  <c r="X47" i="1"/>
  <c r="X61" i="1"/>
  <c r="X253" i="1"/>
  <c r="X269" i="1"/>
  <c r="X135" i="1"/>
  <c r="X134" i="1"/>
  <c r="X572" i="1"/>
  <c r="X649" i="1"/>
  <c r="X581" i="1"/>
  <c r="X583" i="1" s="1"/>
  <c r="F375" i="2" s="1"/>
  <c r="G375" i="2" s="1"/>
  <c r="X125" i="1"/>
  <c r="H659" i="1"/>
  <c r="H419" i="1"/>
  <c r="AK407" i="1"/>
  <c r="AL407" i="1" s="1"/>
  <c r="H191" i="1"/>
  <c r="M661" i="1"/>
  <c r="AK286" i="1"/>
  <c r="AL286" i="1" s="1"/>
  <c r="AK473" i="1"/>
  <c r="AL473" i="1" s="1"/>
  <c r="Z648" i="1"/>
  <c r="I390" i="1"/>
  <c r="AK632" i="1"/>
  <c r="AL632" i="1" s="1"/>
  <c r="G16" i="6"/>
  <c r="J1105" i="2" s="1"/>
  <c r="G32" i="6"/>
  <c r="Q1105" i="2" s="1"/>
  <c r="G10" i="6"/>
  <c r="G28" i="6"/>
  <c r="O1105" i="2" s="1"/>
  <c r="G24" i="6"/>
  <c r="G12" i="6"/>
  <c r="H1105" i="2" s="1"/>
  <c r="G22" i="6"/>
  <c r="M1105" i="2" s="1"/>
  <c r="G18" i="6"/>
  <c r="K1105" i="2" s="1"/>
  <c r="G14" i="6"/>
  <c r="I1105" i="2" s="1"/>
  <c r="G30" i="6"/>
  <c r="P1105" i="2" s="1"/>
  <c r="G26" i="6"/>
  <c r="N1105" i="2" s="1"/>
  <c r="G20" i="6"/>
  <c r="L1105" i="2" s="1"/>
  <c r="AK451" i="1"/>
  <c r="AL451" i="1" s="1"/>
  <c r="G666" i="2"/>
  <c r="F1118" i="2"/>
  <c r="F651" i="2" s="1"/>
  <c r="G651" i="2" s="1"/>
  <c r="V419" i="1"/>
  <c r="AK417" i="1"/>
  <c r="AL417" i="1" s="1"/>
  <c r="AK245" i="1"/>
  <c r="AL245" i="1" s="1"/>
  <c r="V658" i="1"/>
  <c r="V180" i="1"/>
  <c r="V186" i="1" s="1"/>
  <c r="V188" i="1" s="1"/>
  <c r="V398" i="1"/>
  <c r="AK246" i="1"/>
  <c r="AL246" i="1" s="1"/>
  <c r="AK244" i="1"/>
  <c r="AL244" i="1" s="1"/>
  <c r="F36" i="7"/>
  <c r="AF213" i="1"/>
  <c r="AF215" i="1"/>
  <c r="AF216" i="1"/>
  <c r="AF424" i="1"/>
  <c r="AF428" i="1" s="1"/>
  <c r="AF214" i="1"/>
  <c r="AK476" i="1"/>
  <c r="AL476" i="1" s="1"/>
  <c r="H359" i="1"/>
  <c r="AK628" i="1"/>
  <c r="AL628" i="1" s="1"/>
  <c r="P237" i="1"/>
  <c r="P580" i="1"/>
  <c r="P238" i="1"/>
  <c r="P436" i="1"/>
  <c r="P434" i="1"/>
  <c r="P101" i="1"/>
  <c r="P435" i="1"/>
  <c r="P571" i="1"/>
  <c r="P437" i="1"/>
  <c r="P432" i="1"/>
  <c r="P230" i="1"/>
  <c r="P440" i="1"/>
  <c r="P231" i="1"/>
  <c r="P431" i="1"/>
  <c r="P650" i="1"/>
  <c r="P102" i="1"/>
  <c r="P433" i="1"/>
  <c r="P438" i="1"/>
  <c r="P47" i="1"/>
  <c r="P439" i="1"/>
  <c r="AK32" i="1"/>
  <c r="AL32" i="1" s="1"/>
  <c r="P570" i="1"/>
  <c r="AH234" i="1"/>
  <c r="K177" i="1"/>
  <c r="O57" i="1"/>
  <c r="U159" i="1"/>
  <c r="U165" i="1" s="1"/>
  <c r="U167" i="1" s="1"/>
  <c r="U656" i="1"/>
  <c r="U377" i="1"/>
  <c r="W243" i="1"/>
  <c r="W661" i="1"/>
  <c r="AK448" i="1"/>
  <c r="AL448" i="1" s="1"/>
  <c r="G303" i="1"/>
  <c r="G277" i="1"/>
  <c r="Z105" i="1"/>
  <c r="Z59" i="1"/>
  <c r="AD73" i="1"/>
  <c r="Z126" i="1"/>
  <c r="AD104" i="1"/>
  <c r="Y8" i="1"/>
  <c r="AK631" i="1"/>
  <c r="AL631" i="1" s="1"/>
  <c r="I380" i="1"/>
  <c r="Z104" i="1"/>
  <c r="P662" i="1"/>
  <c r="AK123" i="1"/>
  <c r="I568" i="1"/>
  <c r="I567" i="1"/>
  <c r="I579" i="1"/>
  <c r="I665" i="1"/>
  <c r="I569" i="1"/>
  <c r="I47" i="1"/>
  <c r="F277" i="1"/>
  <c r="H799" i="2"/>
  <c r="G662" i="2"/>
  <c r="F1212" i="2"/>
  <c r="H795" i="2"/>
  <c r="AK450" i="1"/>
  <c r="AL450" i="1" s="1"/>
  <c r="I633" i="1"/>
  <c r="J214" i="1"/>
  <c r="J216" i="1"/>
  <c r="J213" i="1"/>
  <c r="J215" i="1"/>
  <c r="J424" i="1"/>
  <c r="J428" i="1" s="1"/>
  <c r="AK249" i="1"/>
  <c r="AL249" i="1" s="1"/>
  <c r="AJ662" i="1"/>
  <c r="L662" i="1"/>
  <c r="L261" i="1"/>
  <c r="F92" i="1"/>
  <c r="F95" i="1" s="1"/>
  <c r="F78" i="1"/>
  <c r="S105" i="1"/>
  <c r="S10" i="1"/>
  <c r="S9" i="1"/>
  <c r="V455" i="1"/>
  <c r="V454" i="1"/>
  <c r="V63" i="1"/>
  <c r="V61" i="1"/>
  <c r="V252" i="1"/>
  <c r="V581" i="1"/>
  <c r="V103" i="1"/>
  <c r="V477" i="1"/>
  <c r="V634" i="1" s="1"/>
  <c r="V469" i="1" s="1"/>
  <c r="V479" i="1" s="1"/>
  <c r="V47" i="1"/>
  <c r="V134" i="1"/>
  <c r="V254" i="1"/>
  <c r="V481" i="1"/>
  <c r="V135" i="1"/>
  <c r="V253" i="1"/>
  <c r="V125" i="1"/>
  <c r="V72" i="1"/>
  <c r="V572" i="1"/>
  <c r="V269" i="1"/>
  <c r="V649" i="1"/>
  <c r="AK637" i="1"/>
  <c r="AK447" i="1"/>
  <c r="AL447" i="1" s="1"/>
  <c r="D33" i="14"/>
  <c r="F33" i="14" s="1"/>
  <c r="K33" i="14" s="1"/>
  <c r="L33" i="14" s="1"/>
  <c r="I563" i="2"/>
  <c r="O679" i="2"/>
  <c r="O821" i="2"/>
  <c r="H805" i="2"/>
  <c r="H831" i="2" s="1"/>
  <c r="H826" i="2"/>
  <c r="D32" i="15" s="1"/>
  <c r="E32" i="15" s="1"/>
  <c r="K32" i="15" s="1"/>
  <c r="L32" i="15" s="1"/>
  <c r="H653" i="2"/>
  <c r="H659" i="2"/>
  <c r="H664" i="2"/>
  <c r="H538" i="2"/>
  <c r="H541" i="2"/>
  <c r="H797" i="2"/>
  <c r="H544" i="2"/>
  <c r="H547" i="2"/>
  <c r="H553" i="2"/>
  <c r="H804" i="2"/>
  <c r="H830" i="2" s="1"/>
  <c r="H1072" i="2"/>
  <c r="H1084" i="2" s="1"/>
  <c r="H545" i="2"/>
  <c r="H658" i="2"/>
  <c r="H657" i="2"/>
  <c r="H1116" i="2"/>
  <c r="G1131" i="2"/>
  <c r="G1108" i="2" s="1"/>
  <c r="G1132" i="2"/>
  <c r="G1130" i="2"/>
  <c r="G1133" i="2"/>
  <c r="G1128" i="2"/>
  <c r="G1107" i="2" s="1"/>
  <c r="P1149" i="2"/>
  <c r="P1148" i="2"/>
  <c r="T1148" i="2" s="1"/>
  <c r="U1148" i="2" s="1"/>
  <c r="V1148" i="2" s="1"/>
  <c r="H1130" i="2"/>
  <c r="H1131" i="2"/>
  <c r="H1132" i="2" s="1"/>
  <c r="H1133" i="2"/>
  <c r="H1128" i="2"/>
  <c r="H1107" i="2" s="1"/>
  <c r="H552" i="2"/>
  <c r="H663" i="2"/>
  <c r="H828" i="2"/>
  <c r="H665" i="2"/>
  <c r="H662" i="2"/>
  <c r="H1115" i="2"/>
  <c r="H1117" i="2"/>
  <c r="H666" i="2"/>
  <c r="T1220" i="2"/>
  <c r="U1220" i="2" s="1"/>
  <c r="E49" i="15"/>
  <c r="G49" i="15"/>
  <c r="F49" i="15"/>
  <c r="H49" i="15"/>
  <c r="H1122" i="2"/>
  <c r="H1152" i="2" s="1"/>
  <c r="H1176" i="2" s="1"/>
  <c r="U1218" i="2"/>
  <c r="J1140" i="2"/>
  <c r="J1141" i="2"/>
  <c r="J1142" i="2" s="1"/>
  <c r="J1143" i="2" s="1"/>
  <c r="J1138" i="2"/>
  <c r="K821" i="2"/>
  <c r="T821" i="2" s="1"/>
  <c r="U821" i="2" s="1"/>
  <c r="V821" i="2" s="1"/>
  <c r="K679" i="2"/>
  <c r="T1149" i="2"/>
  <c r="U1149" i="2" s="1"/>
  <c r="V1149" i="2" s="1"/>
  <c r="G563" i="2"/>
  <c r="H798" i="2"/>
  <c r="H652" i="2"/>
  <c r="H806" i="2"/>
  <c r="H667" i="2"/>
  <c r="F49" i="25"/>
  <c r="N1122" i="2"/>
  <c r="N1152" i="2" s="1"/>
  <c r="N1176" i="2" s="1"/>
  <c r="D7" i="10"/>
  <c r="D9" i="10" s="1"/>
  <c r="D11" i="10" s="1"/>
  <c r="U1217" i="2"/>
  <c r="H1140" i="2"/>
  <c r="H1138" i="2"/>
  <c r="H1141" i="2"/>
  <c r="H1142" i="2" s="1"/>
  <c r="H1143" i="2" s="1"/>
  <c r="H563" i="2"/>
  <c r="M1138" i="2"/>
  <c r="M1140" i="2"/>
  <c r="M1141" i="2"/>
  <c r="M1143" i="2" s="1"/>
  <c r="I826" i="2"/>
  <c r="I1025" i="2"/>
  <c r="I552" i="2"/>
  <c r="I538" i="2"/>
  <c r="I656" i="2"/>
  <c r="I544" i="2"/>
  <c r="I806" i="2"/>
  <c r="I1072" i="2"/>
  <c r="I825" i="2"/>
  <c r="I1100" i="2"/>
  <c r="I545" i="2"/>
  <c r="I541" i="2"/>
  <c r="I547" i="2"/>
  <c r="I659" i="2"/>
  <c r="I658" i="2"/>
  <c r="I663" i="2"/>
  <c r="I829" i="2"/>
  <c r="I1208" i="2"/>
  <c r="I799" i="2"/>
  <c r="I664" i="2"/>
  <c r="I798" i="2"/>
  <c r="I1115" i="2"/>
  <c r="I796" i="2"/>
  <c r="I652" i="2"/>
  <c r="I805" i="2"/>
  <c r="I803" i="2"/>
  <c r="J1" i="2"/>
  <c r="I657" i="2"/>
  <c r="I560" i="2"/>
  <c r="I828" i="2"/>
  <c r="I804" i="2"/>
  <c r="I1103" i="2"/>
  <c r="I797" i="2"/>
  <c r="I374" i="2"/>
  <c r="I651" i="2"/>
  <c r="I546" i="2"/>
  <c r="I665" i="2"/>
  <c r="I1108" i="2"/>
  <c r="I553" i="2"/>
  <c r="I548" i="2"/>
  <c r="I1107" i="2"/>
  <c r="I381" i="2"/>
  <c r="T1114" i="2"/>
  <c r="U1114" i="2" s="1"/>
  <c r="O1122" i="2"/>
  <c r="O1152" i="2" s="1"/>
  <c r="O1176" i="2" s="1"/>
  <c r="F49" i="26"/>
  <c r="T1139" i="2"/>
  <c r="U1139" i="2" s="1"/>
  <c r="V1139" i="2" s="1"/>
  <c r="I795" i="2"/>
  <c r="I666" i="2"/>
  <c r="I1117" i="2"/>
  <c r="F669" i="2"/>
  <c r="H651" i="2"/>
  <c r="J1127" i="2"/>
  <c r="T1126" i="2"/>
  <c r="U1126" i="2" s="1"/>
  <c r="V1126" i="2" s="1"/>
  <c r="O1140" i="2"/>
  <c r="O1138" i="2"/>
  <c r="O1141" i="2"/>
  <c r="G1176" i="2"/>
  <c r="L1122" i="2"/>
  <c r="F49" i="20"/>
  <c r="T1121" i="2"/>
  <c r="U1121" i="2" s="1"/>
  <c r="I1138" i="2"/>
  <c r="I1140" i="2"/>
  <c r="T1137" i="2"/>
  <c r="U1137" i="2" s="1"/>
  <c r="V1137" i="2" s="1"/>
  <c r="I1141" i="2"/>
  <c r="I653" i="2"/>
  <c r="I667" i="2"/>
  <c r="I794" i="2"/>
  <c r="I662" i="2"/>
  <c r="T1169" i="2"/>
  <c r="U1169" i="2" s="1"/>
  <c r="V1169" i="2" s="1"/>
  <c r="I1116" i="2"/>
  <c r="S126" i="1" l="1"/>
  <c r="S128" i="1" s="1"/>
  <c r="S8" i="1"/>
  <c r="S59" i="1"/>
  <c r="O8" i="1"/>
  <c r="AD220" i="1"/>
  <c r="AJ442" i="1"/>
  <c r="AA57" i="1"/>
  <c r="S648" i="1"/>
  <c r="S57" i="1"/>
  <c r="S136" i="1"/>
  <c r="T233" i="1"/>
  <c r="AH583" i="1"/>
  <c r="F397" i="2" s="1"/>
  <c r="H397" i="2" s="1"/>
  <c r="O633" i="1"/>
  <c r="O445" i="1" s="1"/>
  <c r="O457" i="1" s="1"/>
  <c r="P271" i="1"/>
  <c r="K236" i="1"/>
  <c r="AA483" i="1"/>
  <c r="AA485" i="1" s="1"/>
  <c r="AA511" i="1" s="1"/>
  <c r="AA228" i="1"/>
  <c r="K227" i="1"/>
  <c r="H220" i="1"/>
  <c r="W188" i="1"/>
  <c r="I236" i="1"/>
  <c r="I369" i="2"/>
  <c r="S73" i="1"/>
  <c r="S76" i="1" s="1"/>
  <c r="S93" i="1" s="1"/>
  <c r="S60" i="1"/>
  <c r="O104" i="1"/>
  <c r="AH225" i="1"/>
  <c r="AH59" i="1"/>
  <c r="Q10" i="1"/>
  <c r="M660" i="1"/>
  <c r="T483" i="1"/>
  <c r="K228" i="1"/>
  <c r="AB421" i="1"/>
  <c r="L167" i="1"/>
  <c r="AJ167" i="1"/>
  <c r="I227" i="1"/>
  <c r="AD421" i="1"/>
  <c r="AA271" i="1"/>
  <c r="Q421" i="1"/>
  <c r="Z76" i="1"/>
  <c r="Z93" i="1" s="1"/>
  <c r="AJ225" i="1"/>
  <c r="AJ233" i="1"/>
  <c r="AA105" i="1"/>
  <c r="AA107" i="1" s="1"/>
  <c r="AA648" i="1"/>
  <c r="S138" i="1"/>
  <c r="S140" i="1" s="1"/>
  <c r="J105" i="1"/>
  <c r="O10" i="1"/>
  <c r="O59" i="1"/>
  <c r="K188" i="1"/>
  <c r="AA136" i="1"/>
  <c r="AA138" i="1" s="1"/>
  <c r="J73" i="1"/>
  <c r="J76" i="1" s="1"/>
  <c r="J93" i="1" s="1"/>
  <c r="AD76" i="1"/>
  <c r="AD93" i="1" s="1"/>
  <c r="O136" i="1"/>
  <c r="O138" i="1" s="1"/>
  <c r="O9" i="1"/>
  <c r="O73" i="1"/>
  <c r="O76" i="1" s="1"/>
  <c r="O93" i="1" s="1"/>
  <c r="T227" i="1"/>
  <c r="T236" i="1"/>
  <c r="M226" i="1"/>
  <c r="AA226" i="1"/>
  <c r="AA235" i="1"/>
  <c r="X236" i="1"/>
  <c r="O583" i="1"/>
  <c r="F360" i="2" s="1"/>
  <c r="O220" i="1"/>
  <c r="AA234" i="1"/>
  <c r="I483" i="1"/>
  <c r="I229" i="1"/>
  <c r="Y188" i="1"/>
  <c r="Y210" i="1" s="1"/>
  <c r="AA10" i="1"/>
  <c r="AA9" i="1"/>
  <c r="J9" i="1"/>
  <c r="O105" i="1"/>
  <c r="O107" i="1" s="1"/>
  <c r="O126" i="1"/>
  <c r="O648" i="1"/>
  <c r="Q138" i="1"/>
  <c r="T225" i="1"/>
  <c r="T232" i="1"/>
  <c r="T234" i="1"/>
  <c r="AA236" i="1"/>
  <c r="I167" i="1"/>
  <c r="X226" i="1"/>
  <c r="S233" i="1"/>
  <c r="S228" i="1"/>
  <c r="W421" i="1"/>
  <c r="K421" i="1"/>
  <c r="I232" i="1"/>
  <c r="I228" i="1"/>
  <c r="Z128" i="1"/>
  <c r="T226" i="1"/>
  <c r="T229" i="1"/>
  <c r="AJ583" i="1"/>
  <c r="F400" i="2" s="1"/>
  <c r="T421" i="1"/>
  <c r="I225" i="1"/>
  <c r="AF421" i="1"/>
  <c r="M210" i="1"/>
  <c r="AA220" i="1"/>
  <c r="AA222" i="1" s="1"/>
  <c r="T220" i="1"/>
  <c r="X421" i="1"/>
  <c r="X485" i="1" s="1"/>
  <c r="V220" i="1"/>
  <c r="M662" i="1"/>
  <c r="M261" i="1"/>
  <c r="M271" i="1" s="1"/>
  <c r="V210" i="1"/>
  <c r="AH136" i="1"/>
  <c r="AH138" i="1" s="1"/>
  <c r="AH648" i="1"/>
  <c r="Q73" i="1"/>
  <c r="W76" i="1"/>
  <c r="W93" i="1" s="1"/>
  <c r="AA126" i="1"/>
  <c r="AA128" i="1" s="1"/>
  <c r="AA140" i="1" s="1"/>
  <c r="AA60" i="1"/>
  <c r="AA73" i="1"/>
  <c r="AA76" i="1" s="1"/>
  <c r="AA93" i="1" s="1"/>
  <c r="Z57" i="1"/>
  <c r="Z573" i="1" s="1"/>
  <c r="Z9" i="1"/>
  <c r="AD60" i="1"/>
  <c r="U210" i="1"/>
  <c r="AF136" i="1"/>
  <c r="AF138" i="1" s="1"/>
  <c r="AH73" i="1"/>
  <c r="AH76" i="1" s="1"/>
  <c r="AH93" i="1" s="1"/>
  <c r="AH126" i="1"/>
  <c r="AH105" i="1"/>
  <c r="Q8" i="1"/>
  <c r="Q12" i="1" s="1"/>
  <c r="Q648" i="1"/>
  <c r="Q57" i="1"/>
  <c r="AD660" i="1"/>
  <c r="M421" i="1"/>
  <c r="M485" i="1" s="1"/>
  <c r="M511" i="1" s="1"/>
  <c r="M229" i="1"/>
  <c r="J633" i="1"/>
  <c r="J445" i="1" s="1"/>
  <c r="J457" i="1" s="1"/>
  <c r="K229" i="1"/>
  <c r="K660" i="1"/>
  <c r="M256" i="1"/>
  <c r="M273" i="1" s="1"/>
  <c r="AJ235" i="1"/>
  <c r="T210" i="1"/>
  <c r="T222" i="1" s="1"/>
  <c r="I226" i="1"/>
  <c r="I235" i="1"/>
  <c r="Y57" i="1"/>
  <c r="Y532" i="1" s="1"/>
  <c r="Z10" i="1"/>
  <c r="AH104" i="1"/>
  <c r="AH107" i="1" s="1"/>
  <c r="Q104" i="1"/>
  <c r="Q126" i="1"/>
  <c r="Q128" i="1" s="1"/>
  <c r="Q140" i="1" s="1"/>
  <c r="AC421" i="1"/>
  <c r="AJ483" i="1"/>
  <c r="AJ485" i="1" s="1"/>
  <c r="AJ511" i="1" s="1"/>
  <c r="AJ314" i="1" s="1"/>
  <c r="AA8" i="1"/>
  <c r="AA59" i="1"/>
  <c r="I583" i="1"/>
  <c r="F352" i="2" s="1"/>
  <c r="Z136" i="1"/>
  <c r="Z138" i="1" s="1"/>
  <c r="AD105" i="1"/>
  <c r="Z8" i="1"/>
  <c r="AF8" i="1"/>
  <c r="T9" i="1"/>
  <c r="T12" i="1" s="1"/>
  <c r="AJ73" i="1"/>
  <c r="AJ76" i="1" s="1"/>
  <c r="AJ93" i="1" s="1"/>
  <c r="AH57" i="1"/>
  <c r="AH324" i="1" s="1"/>
  <c r="AH8" i="1"/>
  <c r="Q59" i="1"/>
  <c r="Q60" i="1"/>
  <c r="K483" i="1"/>
  <c r="K485" i="1" s="1"/>
  <c r="K511" i="1" s="1"/>
  <c r="M583" i="1"/>
  <c r="F356" i="2" s="1"/>
  <c r="G356" i="2" s="1"/>
  <c r="S421" i="1"/>
  <c r="AC210" i="1"/>
  <c r="AC222" i="1" s="1"/>
  <c r="J210" i="1"/>
  <c r="K235" i="1"/>
  <c r="K234" i="1"/>
  <c r="U271" i="1"/>
  <c r="Z421" i="1"/>
  <c r="Z210" i="1"/>
  <c r="Z222" i="1" s="1"/>
  <c r="Y421" i="1"/>
  <c r="Y485" i="1" s="1"/>
  <c r="Y511" i="1" s="1"/>
  <c r="L188" i="1"/>
  <c r="U442" i="1"/>
  <c r="U483" i="1" s="1"/>
  <c r="AJ220" i="1"/>
  <c r="I233" i="1"/>
  <c r="I261" i="1"/>
  <c r="I271" i="1" s="1"/>
  <c r="I662" i="1"/>
  <c r="O421" i="1"/>
  <c r="J128" i="1"/>
  <c r="AD107" i="1"/>
  <c r="Y126" i="1"/>
  <c r="Y128" i="1" s="1"/>
  <c r="K261" i="1"/>
  <c r="AJ126" i="1"/>
  <c r="AJ128" i="1" s="1"/>
  <c r="H369" i="2"/>
  <c r="O128" i="1"/>
  <c r="AF10" i="1"/>
  <c r="T648" i="1"/>
  <c r="AJ59" i="1"/>
  <c r="AC633" i="1"/>
  <c r="AC445" i="1" s="1"/>
  <c r="AC457" i="1" s="1"/>
  <c r="AC661" i="1" s="1"/>
  <c r="M236" i="1"/>
  <c r="M227" i="1"/>
  <c r="K220" i="1"/>
  <c r="Q442" i="1"/>
  <c r="Q229" i="1" s="1"/>
  <c r="K583" i="1"/>
  <c r="F354" i="2" s="1"/>
  <c r="G354" i="2" s="1"/>
  <c r="AF442" i="1"/>
  <c r="AF225" i="1" s="1"/>
  <c r="AA421" i="1"/>
  <c r="L421" i="1"/>
  <c r="AA662" i="1"/>
  <c r="T633" i="1"/>
  <c r="T445" i="1" s="1"/>
  <c r="T457" i="1" s="1"/>
  <c r="Y220" i="1"/>
  <c r="L220" i="1"/>
  <c r="Y105" i="1"/>
  <c r="Y136" i="1"/>
  <c r="Y104" i="1"/>
  <c r="T59" i="1"/>
  <c r="M228" i="1"/>
  <c r="S210" i="1"/>
  <c r="AD210" i="1"/>
  <c r="J243" i="1"/>
  <c r="J661" i="1"/>
  <c r="W261" i="1"/>
  <c r="W271" i="1" s="1"/>
  <c r="W662" i="1"/>
  <c r="AD243" i="1"/>
  <c r="AD256" i="1" s="1"/>
  <c r="AD661" i="1"/>
  <c r="J10" i="1"/>
  <c r="J104" i="1"/>
  <c r="J59" i="1"/>
  <c r="T261" i="1"/>
  <c r="T271" i="1" s="1"/>
  <c r="AD10" i="1"/>
  <c r="AD648" i="1"/>
  <c r="AD57" i="1"/>
  <c r="AD530" i="1" s="1"/>
  <c r="AD136" i="1"/>
  <c r="AD138" i="1" s="1"/>
  <c r="AH660" i="1"/>
  <c r="AH228" i="1"/>
  <c r="AH233" i="1"/>
  <c r="Q76" i="1"/>
  <c r="Q93" i="1" s="1"/>
  <c r="AD235" i="1"/>
  <c r="AF76" i="1"/>
  <c r="AF93" i="1" s="1"/>
  <c r="X234" i="1"/>
  <c r="X233" i="1"/>
  <c r="AJ210" i="1"/>
  <c r="S236" i="1"/>
  <c r="AD483" i="1"/>
  <c r="S232" i="1"/>
  <c r="X188" i="1"/>
  <c r="X210" i="1" s="1"/>
  <c r="S229" i="1"/>
  <c r="S234" i="1"/>
  <c r="S226" i="1"/>
  <c r="AD9" i="1"/>
  <c r="AD126" i="1"/>
  <c r="AD128" i="1" s="1"/>
  <c r="AH232" i="1"/>
  <c r="AH226" i="1"/>
  <c r="AH235" i="1"/>
  <c r="AK237" i="1"/>
  <c r="AL237" i="1" s="1"/>
  <c r="AD261" i="1"/>
  <c r="AD271" i="1" s="1"/>
  <c r="U104" i="1"/>
  <c r="AD222" i="1"/>
  <c r="P188" i="1"/>
  <c r="P210" i="1" s="1"/>
  <c r="X232" i="1"/>
  <c r="X228" i="1"/>
  <c r="X225" i="1"/>
  <c r="S227" i="1"/>
  <c r="L210" i="1"/>
  <c r="W210" i="1"/>
  <c r="W222" i="1" s="1"/>
  <c r="O442" i="1"/>
  <c r="O483" i="1" s="1"/>
  <c r="AJ234" i="1"/>
  <c r="AJ226" i="1"/>
  <c r="AJ229" i="1"/>
  <c r="AJ232" i="1"/>
  <c r="AJ228" i="1"/>
  <c r="AJ227" i="1"/>
  <c r="AJ660" i="1"/>
  <c r="AJ236" i="1"/>
  <c r="J136" i="1"/>
  <c r="J138" i="1" s="1"/>
  <c r="J60" i="1"/>
  <c r="J8" i="1"/>
  <c r="J12" i="1" s="1"/>
  <c r="J57" i="1"/>
  <c r="J531" i="1" s="1"/>
  <c r="J648" i="1"/>
  <c r="Y73" i="1"/>
  <c r="Y76" i="1" s="1"/>
  <c r="Y93" i="1" s="1"/>
  <c r="Y10" i="1"/>
  <c r="Y9" i="1"/>
  <c r="Y59" i="1"/>
  <c r="Y60" i="1"/>
  <c r="AD59" i="1"/>
  <c r="AH227" i="1"/>
  <c r="AH229" i="1"/>
  <c r="X483" i="1"/>
  <c r="U136" i="1"/>
  <c r="U138" i="1" s="1"/>
  <c r="AC583" i="1"/>
  <c r="F388" i="2" s="1"/>
  <c r="I388" i="2" s="1"/>
  <c r="T485" i="1"/>
  <c r="T511" i="1" s="1"/>
  <c r="AH483" i="1"/>
  <c r="AH188" i="1"/>
  <c r="AH210" i="1" s="1"/>
  <c r="AH222" i="1" s="1"/>
  <c r="AB210" i="1"/>
  <c r="Q220" i="1"/>
  <c r="AB220" i="1"/>
  <c r="P421" i="1"/>
  <c r="X660" i="1"/>
  <c r="X235" i="1"/>
  <c r="S235" i="1"/>
  <c r="S483" i="1"/>
  <c r="S660" i="1"/>
  <c r="K233" i="1"/>
  <c r="Q167" i="1"/>
  <c r="Q210" i="1" s="1"/>
  <c r="Q661" i="1"/>
  <c r="Q243" i="1"/>
  <c r="Q256" i="1" s="1"/>
  <c r="Y261" i="1"/>
  <c r="Y271" i="1" s="1"/>
  <c r="Y662" i="1"/>
  <c r="P661" i="1"/>
  <c r="P243" i="1"/>
  <c r="P256" i="1" s="1"/>
  <c r="AF233" i="1"/>
  <c r="AF227" i="1"/>
  <c r="L271" i="1"/>
  <c r="AA243" i="1"/>
  <c r="AA256" i="1" s="1"/>
  <c r="AA273" i="1" s="1"/>
  <c r="AF57" i="1"/>
  <c r="AF322" i="1" s="1"/>
  <c r="AF105" i="1"/>
  <c r="AF648" i="1"/>
  <c r="T8" i="1"/>
  <c r="T60" i="1"/>
  <c r="T73" i="1"/>
  <c r="T76" i="1" s="1"/>
  <c r="T93" i="1" s="1"/>
  <c r="M222" i="1"/>
  <c r="AH128" i="1"/>
  <c r="AF210" i="1"/>
  <c r="AD236" i="1"/>
  <c r="AD233" i="1"/>
  <c r="AD227" i="1"/>
  <c r="J256" i="1"/>
  <c r="J583" i="1"/>
  <c r="F353" i="2" s="1"/>
  <c r="J442" i="1"/>
  <c r="J483" i="1" s="1"/>
  <c r="U76" i="1"/>
  <c r="U93" i="1" s="1"/>
  <c r="H366" i="2"/>
  <c r="W256" i="1"/>
  <c r="AK439" i="1"/>
  <c r="AL439" i="1" s="1"/>
  <c r="AK440" i="1"/>
  <c r="AL440" i="1" s="1"/>
  <c r="AK571" i="1"/>
  <c r="AL571" i="1" s="1"/>
  <c r="AF126" i="1"/>
  <c r="AF128" i="1" s="1"/>
  <c r="AF59" i="1"/>
  <c r="AF104" i="1"/>
  <c r="T126" i="1"/>
  <c r="T128" i="1" s="1"/>
  <c r="T136" i="1"/>
  <c r="T138" i="1" s="1"/>
  <c r="T57" i="1"/>
  <c r="T323" i="1" s="1"/>
  <c r="AD234" i="1"/>
  <c r="AD229" i="1"/>
  <c r="AD225" i="1"/>
  <c r="O167" i="1"/>
  <c r="O210" i="1" s="1"/>
  <c r="AF9" i="1"/>
  <c r="AF12" i="1" s="1"/>
  <c r="AF60" i="1"/>
  <c r="T105" i="1"/>
  <c r="T104" i="1"/>
  <c r="AK659" i="1"/>
  <c r="AL659" i="1" s="1"/>
  <c r="AD226" i="1"/>
  <c r="AD232" i="1"/>
  <c r="X220" i="1"/>
  <c r="AB442" i="1"/>
  <c r="AB236" i="1" s="1"/>
  <c r="P220" i="1"/>
  <c r="AJ661" i="1"/>
  <c r="AJ243" i="1"/>
  <c r="AJ256" i="1" s="1"/>
  <c r="G372" i="2"/>
  <c r="I372" i="2"/>
  <c r="H372" i="2"/>
  <c r="AB225" i="1"/>
  <c r="AB233" i="1"/>
  <c r="H391" i="2"/>
  <c r="Y138" i="1"/>
  <c r="AK433" i="1"/>
  <c r="AL433" i="1" s="1"/>
  <c r="U105" i="1"/>
  <c r="U57" i="1"/>
  <c r="U322" i="1" s="1"/>
  <c r="U9" i="1"/>
  <c r="W136" i="1"/>
  <c r="W138" i="1" s="1"/>
  <c r="AJ104" i="1"/>
  <c r="AJ10" i="1"/>
  <c r="AJ9" i="1"/>
  <c r="AH633" i="1"/>
  <c r="AH445" i="1" s="1"/>
  <c r="AH457" i="1" s="1"/>
  <c r="AH661" i="1" s="1"/>
  <c r="H633" i="1"/>
  <c r="H445" i="1" s="1"/>
  <c r="H457" i="1" s="1"/>
  <c r="H243" i="1" s="1"/>
  <c r="H256" i="1" s="1"/>
  <c r="W220" i="1"/>
  <c r="AK102" i="1"/>
  <c r="AL102" i="1" s="1"/>
  <c r="K156" i="1"/>
  <c r="K167" i="1" s="1"/>
  <c r="L442" i="1"/>
  <c r="M233" i="1"/>
  <c r="M235" i="1"/>
  <c r="M225" i="1"/>
  <c r="AK230" i="1"/>
  <c r="AL230" i="1" s="1"/>
  <c r="X633" i="1"/>
  <c r="X445" i="1" s="1"/>
  <c r="X457" i="1" s="1"/>
  <c r="X243" i="1" s="1"/>
  <c r="X256" i="1" s="1"/>
  <c r="U10" i="1"/>
  <c r="U648" i="1"/>
  <c r="U126" i="1"/>
  <c r="U128" i="1" s="1"/>
  <c r="AJ105" i="1"/>
  <c r="AJ107" i="1" s="1"/>
  <c r="AJ136" i="1"/>
  <c r="AJ138" i="1" s="1"/>
  <c r="AJ140" i="1" s="1"/>
  <c r="AJ648" i="1"/>
  <c r="AK435" i="1"/>
  <c r="AL435" i="1" s="1"/>
  <c r="Q662" i="1"/>
  <c r="Q261" i="1"/>
  <c r="Q271" i="1" s="1"/>
  <c r="I391" i="2"/>
  <c r="AK438" i="1"/>
  <c r="AL438" i="1" s="1"/>
  <c r="AK432" i="1"/>
  <c r="AL432" i="1" s="1"/>
  <c r="P583" i="1"/>
  <c r="F361" i="2" s="1"/>
  <c r="F363" i="2" s="1"/>
  <c r="W105" i="1"/>
  <c r="U8" i="1"/>
  <c r="U60" i="1"/>
  <c r="AJ60" i="1"/>
  <c r="AJ8" i="1"/>
  <c r="AH12" i="1"/>
  <c r="AH666" i="1" s="1"/>
  <c r="U633" i="1"/>
  <c r="U445" i="1" s="1"/>
  <c r="U457" i="1" s="1"/>
  <c r="AC442" i="1"/>
  <c r="AC483" i="1" s="1"/>
  <c r="L136" i="1"/>
  <c r="L138" i="1" s="1"/>
  <c r="L59" i="1"/>
  <c r="L57" i="1"/>
  <c r="L126" i="1"/>
  <c r="L128" i="1" s="1"/>
  <c r="L105" i="1"/>
  <c r="L73" i="1"/>
  <c r="L76" i="1" s="1"/>
  <c r="L93" i="1" s="1"/>
  <c r="L60" i="1"/>
  <c r="L8" i="1"/>
  <c r="L9" i="1"/>
  <c r="L10" i="1"/>
  <c r="L104" i="1"/>
  <c r="AH261" i="1"/>
  <c r="AH271" i="1" s="1"/>
  <c r="AH662" i="1"/>
  <c r="H661" i="1"/>
  <c r="F382" i="2"/>
  <c r="G380" i="2"/>
  <c r="I380" i="2"/>
  <c r="I382" i="2" s="1"/>
  <c r="H380" i="2"/>
  <c r="AF661" i="1"/>
  <c r="AF243" i="1"/>
  <c r="AF256" i="1" s="1"/>
  <c r="AF261" i="1"/>
  <c r="AF271" i="1" s="1"/>
  <c r="AF662" i="1"/>
  <c r="W10" i="1"/>
  <c r="AJ271" i="1"/>
  <c r="U421" i="1"/>
  <c r="AK231" i="1"/>
  <c r="AL231" i="1" s="1"/>
  <c r="AK437" i="1"/>
  <c r="AL437" i="1" s="1"/>
  <c r="AK434" i="1"/>
  <c r="AL434" i="1" s="1"/>
  <c r="AB226" i="1"/>
  <c r="W648" i="1"/>
  <c r="S220" i="1"/>
  <c r="W442" i="1"/>
  <c r="J229" i="1"/>
  <c r="J225" i="1"/>
  <c r="J234" i="1"/>
  <c r="J227" i="1"/>
  <c r="J236" i="1"/>
  <c r="V583" i="1"/>
  <c r="F373" i="2" s="1"/>
  <c r="F377" i="2" s="1"/>
  <c r="W126" i="1"/>
  <c r="W128" i="1" s="1"/>
  <c r="J107" i="1"/>
  <c r="W57" i="1"/>
  <c r="W573" i="1" s="1"/>
  <c r="W59" i="1"/>
  <c r="AK436" i="1"/>
  <c r="AL436" i="1" s="1"/>
  <c r="AB232" i="1"/>
  <c r="AB227" i="1"/>
  <c r="AK569" i="1"/>
  <c r="AL569" i="1" s="1"/>
  <c r="M105" i="1"/>
  <c r="M10" i="1"/>
  <c r="M73" i="1"/>
  <c r="M76" i="1" s="1"/>
  <c r="M93" i="1" s="1"/>
  <c r="M59" i="1"/>
  <c r="M9" i="1"/>
  <c r="M104" i="1"/>
  <c r="M136" i="1"/>
  <c r="M138" i="1" s="1"/>
  <c r="M8" i="1"/>
  <c r="M57" i="1"/>
  <c r="M60" i="1"/>
  <c r="M126" i="1"/>
  <c r="M128" i="1" s="1"/>
  <c r="M140" i="1" s="1"/>
  <c r="Z442" i="1"/>
  <c r="V442" i="1"/>
  <c r="V483" i="1" s="1"/>
  <c r="O662" i="1"/>
  <c r="O261" i="1"/>
  <c r="O271" i="1" s="1"/>
  <c r="J261" i="1"/>
  <c r="J271" i="1" s="1"/>
  <c r="J662" i="1"/>
  <c r="O661" i="1"/>
  <c r="O243" i="1"/>
  <c r="O256" i="1" s="1"/>
  <c r="W9" i="1"/>
  <c r="I366" i="2"/>
  <c r="W60" i="1"/>
  <c r="W8" i="1"/>
  <c r="K271" i="1"/>
  <c r="AK650" i="1"/>
  <c r="AL650" i="1" s="1"/>
  <c r="AK238" i="1"/>
  <c r="AL238" i="1" s="1"/>
  <c r="AB235" i="1"/>
  <c r="W104" i="1"/>
  <c r="Z243" i="1"/>
  <c r="Z256" i="1" s="1"/>
  <c r="Z661" i="1"/>
  <c r="K104" i="1"/>
  <c r="K136" i="1"/>
  <c r="K138" i="1" s="1"/>
  <c r="K57" i="1"/>
  <c r="K105" i="1"/>
  <c r="K9" i="1"/>
  <c r="K8" i="1"/>
  <c r="K59" i="1"/>
  <c r="K10" i="1"/>
  <c r="K73" i="1"/>
  <c r="K76" i="1" s="1"/>
  <c r="K93" i="1" s="1"/>
  <c r="K60" i="1"/>
  <c r="K126" i="1"/>
  <c r="K128" i="1" s="1"/>
  <c r="AH421" i="1"/>
  <c r="AF583" i="1"/>
  <c r="F394" i="2" s="1"/>
  <c r="H394" i="2" s="1"/>
  <c r="Z261" i="1"/>
  <c r="Z271" i="1" s="1"/>
  <c r="Z662" i="1"/>
  <c r="Y633" i="1"/>
  <c r="Y445" i="1" s="1"/>
  <c r="Y457" i="1" s="1"/>
  <c r="Y660" i="1"/>
  <c r="Y229" i="1"/>
  <c r="Y226" i="1"/>
  <c r="Y232" i="1"/>
  <c r="Y225" i="1"/>
  <c r="Y227" i="1"/>
  <c r="Y228" i="1"/>
  <c r="Y235" i="1"/>
  <c r="Y234" i="1"/>
  <c r="Y236" i="1"/>
  <c r="Y233" i="1"/>
  <c r="H442" i="1"/>
  <c r="H483" i="1" s="1"/>
  <c r="G880" i="2"/>
  <c r="G866" i="2"/>
  <c r="G838" i="2"/>
  <c r="X661" i="1"/>
  <c r="V633" i="1"/>
  <c r="V445" i="1" s="1"/>
  <c r="V457" i="1" s="1"/>
  <c r="L661" i="1"/>
  <c r="L243" i="1"/>
  <c r="L256" i="1" s="1"/>
  <c r="H366" i="1"/>
  <c r="AK359" i="1"/>
  <c r="AL359" i="1" s="1"/>
  <c r="X57" i="1"/>
  <c r="X9" i="1"/>
  <c r="X126" i="1"/>
  <c r="X128" i="1" s="1"/>
  <c r="X59" i="1"/>
  <c r="X8" i="1"/>
  <c r="X73" i="1"/>
  <c r="X76" i="1" s="1"/>
  <c r="X93" i="1" s="1"/>
  <c r="X648" i="1"/>
  <c r="X105" i="1"/>
  <c r="X60" i="1"/>
  <c r="X10" i="1"/>
  <c r="X136" i="1"/>
  <c r="X138" i="1" s="1"/>
  <c r="X104" i="1"/>
  <c r="X107" i="1" s="1"/>
  <c r="U531" i="1"/>
  <c r="AB134" i="1"/>
  <c r="AB47" i="1"/>
  <c r="AB572" i="1"/>
  <c r="AK572" i="1" s="1"/>
  <c r="AL572" i="1" s="1"/>
  <c r="AB252" i="1"/>
  <c r="AK252" i="1" s="1"/>
  <c r="AL252" i="1" s="1"/>
  <c r="AB63" i="1"/>
  <c r="AK63" i="1" s="1"/>
  <c r="AL63" i="1" s="1"/>
  <c r="AB72" i="1"/>
  <c r="AB269" i="1"/>
  <c r="AK269" i="1" s="1"/>
  <c r="AL269" i="1" s="1"/>
  <c r="AB254" i="1"/>
  <c r="AK254" i="1" s="1"/>
  <c r="AL254" i="1" s="1"/>
  <c r="AB454" i="1"/>
  <c r="AB649" i="1"/>
  <c r="AK649" i="1" s="1"/>
  <c r="AL649" i="1" s="1"/>
  <c r="AB455" i="1"/>
  <c r="AK455" i="1" s="1"/>
  <c r="AL455" i="1" s="1"/>
  <c r="AB125" i="1"/>
  <c r="AK125" i="1" s="1"/>
  <c r="AL125" i="1" s="1"/>
  <c r="AB135" i="1"/>
  <c r="AK135" i="1" s="1"/>
  <c r="AL135" i="1" s="1"/>
  <c r="AB581" i="1"/>
  <c r="AB583" i="1" s="1"/>
  <c r="F385" i="2" s="1"/>
  <c r="J385" i="2" s="1"/>
  <c r="AB61" i="1"/>
  <c r="AK61" i="1" s="1"/>
  <c r="AL61" i="1" s="1"/>
  <c r="AB481" i="1"/>
  <c r="AB253" i="1"/>
  <c r="AK253" i="1" s="1"/>
  <c r="AL253" i="1" s="1"/>
  <c r="AB477" i="1"/>
  <c r="AB634" i="1" s="1"/>
  <c r="AB469" i="1" s="1"/>
  <c r="AB479" i="1" s="1"/>
  <c r="AB103" i="1"/>
  <c r="S107" i="1"/>
  <c r="F109" i="1"/>
  <c r="F144" i="1"/>
  <c r="I445" i="1"/>
  <c r="F303" i="1"/>
  <c r="F328" i="1"/>
  <c r="Z107" i="1"/>
  <c r="AD532" i="1"/>
  <c r="U222" i="1"/>
  <c r="U660" i="1"/>
  <c r="U225" i="1"/>
  <c r="U228" i="1"/>
  <c r="U233" i="1"/>
  <c r="U227" i="1"/>
  <c r="U235" i="1"/>
  <c r="P126" i="1"/>
  <c r="P128" i="1" s="1"/>
  <c r="P105" i="1"/>
  <c r="P648" i="1"/>
  <c r="P60" i="1"/>
  <c r="P104" i="1"/>
  <c r="P57" i="1"/>
  <c r="P73" i="1"/>
  <c r="P76" i="1" s="1"/>
  <c r="P93" i="1" s="1"/>
  <c r="P9" i="1"/>
  <c r="P8" i="1"/>
  <c r="P10" i="1"/>
  <c r="P136" i="1"/>
  <c r="P138" i="1" s="1"/>
  <c r="P59" i="1"/>
  <c r="G36" i="6"/>
  <c r="G59" i="6"/>
  <c r="G1105" i="2"/>
  <c r="T664" i="1"/>
  <c r="T532" i="1"/>
  <c r="P273" i="1"/>
  <c r="AK419" i="1"/>
  <c r="AL419" i="1" s="1"/>
  <c r="AK568" i="1"/>
  <c r="AL568" i="1" s="1"/>
  <c r="H9" i="1"/>
  <c r="H59" i="1"/>
  <c r="H60" i="1"/>
  <c r="H57" i="1"/>
  <c r="H136" i="1"/>
  <c r="H126" i="1"/>
  <c r="H104" i="1"/>
  <c r="H73" i="1"/>
  <c r="H648" i="1"/>
  <c r="H10" i="1"/>
  <c r="H105" i="1"/>
  <c r="H8" i="1"/>
  <c r="S243" i="1"/>
  <c r="S256" i="1" s="1"/>
  <c r="S661" i="1"/>
  <c r="AJ525" i="1"/>
  <c r="AL123" i="1"/>
  <c r="Y530" i="1"/>
  <c r="Y323" i="1"/>
  <c r="Y664" i="1"/>
  <c r="Y324" i="1"/>
  <c r="AK570" i="1"/>
  <c r="AL570" i="1" s="1"/>
  <c r="P442" i="1"/>
  <c r="AK431" i="1"/>
  <c r="AL431" i="1" s="1"/>
  <c r="AK101" i="1"/>
  <c r="AL101" i="1" s="1"/>
  <c r="G28" i="7"/>
  <c r="O1104" i="2" s="1"/>
  <c r="G10" i="7"/>
  <c r="G14" i="7"/>
  <c r="I1104" i="2" s="1"/>
  <c r="G26" i="7"/>
  <c r="N1104" i="2" s="1"/>
  <c r="G22" i="7"/>
  <c r="M1104" i="2" s="1"/>
  <c r="G20" i="7"/>
  <c r="L1104" i="2" s="1"/>
  <c r="G16" i="7"/>
  <c r="J1104" i="2" s="1"/>
  <c r="G34" i="7"/>
  <c r="R1104" i="2" s="1"/>
  <c r="G24" i="7"/>
  <c r="G12" i="7"/>
  <c r="H1104" i="2" s="1"/>
  <c r="G32" i="7"/>
  <c r="Q1104" i="2" s="1"/>
  <c r="G30" i="7"/>
  <c r="P1104" i="2" s="1"/>
  <c r="AC261" i="1"/>
  <c r="AC271" i="1" s="1"/>
  <c r="AC662" i="1"/>
  <c r="I375" i="2"/>
  <c r="H381" i="2"/>
  <c r="H382" i="2" s="1"/>
  <c r="H560" i="2"/>
  <c r="S12" i="1"/>
  <c r="I136" i="1"/>
  <c r="I138" i="1" s="1"/>
  <c r="I59" i="1"/>
  <c r="I73" i="1"/>
  <c r="I76" i="1" s="1"/>
  <c r="I93" i="1" s="1"/>
  <c r="I105" i="1"/>
  <c r="I10" i="1"/>
  <c r="I8" i="1"/>
  <c r="I648" i="1"/>
  <c r="I57" i="1"/>
  <c r="I9" i="1"/>
  <c r="I126" i="1"/>
  <c r="I128" i="1" s="1"/>
  <c r="I104" i="1"/>
  <c r="I60" i="1"/>
  <c r="Z664" i="1"/>
  <c r="H479" i="1"/>
  <c r="AF323" i="1"/>
  <c r="G18" i="7"/>
  <c r="K1104" i="2" s="1"/>
  <c r="I396" i="1"/>
  <c r="AK390" i="1"/>
  <c r="AL390" i="1" s="1"/>
  <c r="AK191" i="1"/>
  <c r="AL191" i="1" s="1"/>
  <c r="H197" i="1"/>
  <c r="H583" i="1"/>
  <c r="AK579" i="1"/>
  <c r="AL579" i="1" s="1"/>
  <c r="AK567" i="1"/>
  <c r="AL567" i="1" s="1"/>
  <c r="K243" i="1"/>
  <c r="K256" i="1" s="1"/>
  <c r="K661" i="1"/>
  <c r="Q107" i="1"/>
  <c r="AC105" i="1"/>
  <c r="AC126" i="1"/>
  <c r="AC128" i="1" s="1"/>
  <c r="AC648" i="1"/>
  <c r="AC9" i="1"/>
  <c r="AC10" i="1"/>
  <c r="AC73" i="1"/>
  <c r="AC76" i="1" s="1"/>
  <c r="AC93" i="1" s="1"/>
  <c r="AC59" i="1"/>
  <c r="AC57" i="1"/>
  <c r="AC8" i="1"/>
  <c r="AC136" i="1"/>
  <c r="AC138" i="1" s="1"/>
  <c r="AC60" i="1"/>
  <c r="AC104" i="1"/>
  <c r="V60" i="1"/>
  <c r="V104" i="1"/>
  <c r="V648" i="1"/>
  <c r="V8" i="1"/>
  <c r="V105" i="1"/>
  <c r="V59" i="1"/>
  <c r="V9" i="1"/>
  <c r="V73" i="1"/>
  <c r="V76" i="1" s="1"/>
  <c r="V93" i="1" s="1"/>
  <c r="V126" i="1"/>
  <c r="V128" i="1" s="1"/>
  <c r="V10" i="1"/>
  <c r="V57" i="1"/>
  <c r="V136" i="1"/>
  <c r="V138" i="1" s="1"/>
  <c r="I387" i="1"/>
  <c r="AK380" i="1"/>
  <c r="AL380" i="1" s="1"/>
  <c r="X261" i="1"/>
  <c r="X271" i="1" s="1"/>
  <c r="X662" i="1"/>
  <c r="J485" i="1"/>
  <c r="V662" i="1"/>
  <c r="V261" i="1"/>
  <c r="V271" i="1" s="1"/>
  <c r="O225" i="1"/>
  <c r="O233" i="1"/>
  <c r="O227" i="1"/>
  <c r="H656" i="1"/>
  <c r="AK656" i="1" s="1"/>
  <c r="AL656" i="1" s="1"/>
  <c r="H159" i="1"/>
  <c r="AK375" i="1"/>
  <c r="AL375" i="1" s="1"/>
  <c r="I215" i="1"/>
  <c r="AK215" i="1" s="1"/>
  <c r="AL215" i="1" s="1"/>
  <c r="I424" i="1"/>
  <c r="I216" i="1"/>
  <c r="AK216" i="1" s="1"/>
  <c r="AL216" i="1" s="1"/>
  <c r="I214" i="1"/>
  <c r="AK214" i="1" s="1"/>
  <c r="AL214" i="1" s="1"/>
  <c r="I213" i="1"/>
  <c r="AK641" i="1"/>
  <c r="AL641" i="1" s="1"/>
  <c r="H1108" i="2"/>
  <c r="H572" i="2" s="1"/>
  <c r="H375" i="2"/>
  <c r="AK45" i="1"/>
  <c r="AL45" i="1" s="1"/>
  <c r="AA664" i="1"/>
  <c r="AA323" i="1"/>
  <c r="AA530" i="1"/>
  <c r="AA531" i="1"/>
  <c r="AA573" i="1"/>
  <c r="AA324" i="1"/>
  <c r="AA532" i="1"/>
  <c r="AA322" i="1"/>
  <c r="S532" i="1"/>
  <c r="S323" i="1"/>
  <c r="S322" i="1"/>
  <c r="S324" i="1"/>
  <c r="S573" i="1"/>
  <c r="S531" i="1"/>
  <c r="S664" i="1"/>
  <c r="S530" i="1"/>
  <c r="J573" i="1"/>
  <c r="J664" i="1"/>
  <c r="J220" i="1"/>
  <c r="J222" i="1" s="1"/>
  <c r="W532" i="1"/>
  <c r="O324" i="1"/>
  <c r="O664" i="1"/>
  <c r="O530" i="1"/>
  <c r="O532" i="1"/>
  <c r="O531" i="1"/>
  <c r="O573" i="1"/>
  <c r="O323" i="1"/>
  <c r="O322" i="1"/>
  <c r="AK580" i="1"/>
  <c r="AL580" i="1" s="1"/>
  <c r="AF220" i="1"/>
  <c r="V421" i="1"/>
  <c r="AK665" i="1"/>
  <c r="AL665" i="1" s="1"/>
  <c r="AJ324" i="1"/>
  <c r="AJ573" i="1"/>
  <c r="AJ530" i="1"/>
  <c r="AJ323" i="1"/>
  <c r="AJ531" i="1"/>
  <c r="AJ532" i="1"/>
  <c r="AJ664" i="1"/>
  <c r="AJ322" i="1"/>
  <c r="AH664" i="1"/>
  <c r="AH532" i="1"/>
  <c r="AH573" i="1"/>
  <c r="AH531" i="1"/>
  <c r="AH65" i="1"/>
  <c r="Q531" i="1"/>
  <c r="Q323" i="1"/>
  <c r="Q573" i="1"/>
  <c r="Q664" i="1"/>
  <c r="Q532" i="1"/>
  <c r="Q324" i="1"/>
  <c r="Q322" i="1"/>
  <c r="Q530" i="1"/>
  <c r="S261" i="1"/>
  <c r="S271" i="1" s="1"/>
  <c r="S662" i="1"/>
  <c r="H1118" i="2"/>
  <c r="H566" i="2"/>
  <c r="H569" i="2"/>
  <c r="H796" i="2"/>
  <c r="H554" i="2"/>
  <c r="G1103" i="2"/>
  <c r="G374" i="2"/>
  <c r="G546" i="2"/>
  <c r="H803" i="2"/>
  <c r="H1103" i="2"/>
  <c r="H1208" i="2"/>
  <c r="H656" i="2"/>
  <c r="H829" i="2"/>
  <c r="H546" i="2"/>
  <c r="G566" i="2"/>
  <c r="G569" i="2"/>
  <c r="G572" i="2"/>
  <c r="G400" i="2"/>
  <c r="H825" i="2"/>
  <c r="T1138" i="2"/>
  <c r="U1138" i="2" s="1"/>
  <c r="V1138" i="2" s="1"/>
  <c r="T679" i="2"/>
  <c r="U679" i="2" s="1"/>
  <c r="V679" i="2" s="1"/>
  <c r="H548" i="2"/>
  <c r="G548" i="2"/>
  <c r="G376" i="2"/>
  <c r="G553" i="2"/>
  <c r="G554" i="2" s="1"/>
  <c r="G381" i="2"/>
  <c r="H374" i="2"/>
  <c r="H376" i="2"/>
  <c r="H1100" i="2"/>
  <c r="I1142" i="2"/>
  <c r="T1141" i="2"/>
  <c r="U1141" i="2" s="1"/>
  <c r="V1141" i="2" s="1"/>
  <c r="J1128" i="2"/>
  <c r="T1128" i="2" s="1"/>
  <c r="U1128" i="2" s="1"/>
  <c r="V1128" i="2" s="1"/>
  <c r="J1133" i="2"/>
  <c r="T1133" i="2" s="1"/>
  <c r="U1133" i="2" s="1"/>
  <c r="V1133" i="2" s="1"/>
  <c r="J1130" i="2"/>
  <c r="T1130" i="2" s="1"/>
  <c r="U1130" i="2" s="1"/>
  <c r="V1130" i="2" s="1"/>
  <c r="J1131" i="2"/>
  <c r="T1127" i="2"/>
  <c r="U1127" i="2" s="1"/>
  <c r="V1127" i="2" s="1"/>
  <c r="H838" i="2"/>
  <c r="H880" i="2"/>
  <c r="H866" i="2"/>
  <c r="I1118" i="2"/>
  <c r="D33" i="16"/>
  <c r="F33" i="16" s="1"/>
  <c r="K33" i="16" s="1"/>
  <c r="L33" i="16" s="1"/>
  <c r="D32" i="16"/>
  <c r="E32" i="16" s="1"/>
  <c r="K32" i="16" s="1"/>
  <c r="L32" i="16" s="1"/>
  <c r="F702" i="2"/>
  <c r="F791" i="2"/>
  <c r="F809" i="2" s="1"/>
  <c r="I1084" i="2"/>
  <c r="T1140" i="2"/>
  <c r="U1140" i="2" s="1"/>
  <c r="V1140" i="2" s="1"/>
  <c r="L1152" i="2"/>
  <c r="T1122" i="2"/>
  <c r="U1122" i="2" s="1"/>
  <c r="V1122" i="2" s="1"/>
  <c r="I566" i="2"/>
  <c r="I569" i="2"/>
  <c r="I397" i="2"/>
  <c r="I572" i="2"/>
  <c r="I400" i="2"/>
  <c r="I830" i="2"/>
  <c r="J665" i="2"/>
  <c r="J796" i="2"/>
  <c r="J659" i="2"/>
  <c r="J663" i="2"/>
  <c r="J1208" i="2"/>
  <c r="J657" i="2"/>
  <c r="J1072" i="2"/>
  <c r="J1084" i="2" s="1"/>
  <c r="J664" i="2"/>
  <c r="J544" i="2"/>
  <c r="J380" i="2"/>
  <c r="J538" i="2"/>
  <c r="J795" i="2"/>
  <c r="J667" i="2"/>
  <c r="J552" i="2"/>
  <c r="J1117" i="2"/>
  <c r="J1025" i="2"/>
  <c r="J1037" i="2" s="1"/>
  <c r="J656" i="2"/>
  <c r="J1103" i="2"/>
  <c r="J1106" i="2"/>
  <c r="J374" i="2"/>
  <c r="J369" i="2"/>
  <c r="J798" i="2"/>
  <c r="J794" i="2"/>
  <c r="J797" i="2"/>
  <c r="J653" i="2"/>
  <c r="J658" i="2"/>
  <c r="J803" i="2"/>
  <c r="J1100" i="2"/>
  <c r="J546" i="2"/>
  <c r="J541" i="2"/>
  <c r="J366" i="2"/>
  <c r="J804" i="2"/>
  <c r="J830" i="2" s="1"/>
  <c r="J651" i="2"/>
  <c r="J838" i="2" s="1"/>
  <c r="J799" i="2"/>
  <c r="J825" i="2"/>
  <c r="K1" i="2"/>
  <c r="J828" i="2"/>
  <c r="J545" i="2"/>
  <c r="J1115" i="2"/>
  <c r="J547" i="2"/>
  <c r="J375" i="2"/>
  <c r="J826" i="2"/>
  <c r="D32" i="17" s="1"/>
  <c r="E32" i="17" s="1"/>
  <c r="K32" i="17" s="1"/>
  <c r="L32" i="17" s="1"/>
  <c r="J805" i="2"/>
  <c r="J831" i="2" s="1"/>
  <c r="J560" i="2"/>
  <c r="J829" i="2"/>
  <c r="J806" i="2"/>
  <c r="J666" i="2"/>
  <c r="J1108" i="2"/>
  <c r="J662" i="2"/>
  <c r="J557" i="2"/>
  <c r="J372" i="2"/>
  <c r="J652" i="2"/>
  <c r="J1116" i="2"/>
  <c r="I831" i="2"/>
  <c r="I554" i="2"/>
  <c r="I866" i="2"/>
  <c r="I880" i="2"/>
  <c r="I838" i="2"/>
  <c r="I527" i="2"/>
  <c r="I355" i="2"/>
  <c r="I654" i="2"/>
  <c r="I526" i="2"/>
  <c r="I528" i="2"/>
  <c r="I354" i="2"/>
  <c r="I549" i="2"/>
  <c r="I1037" i="2"/>
  <c r="AA321" i="1" l="1"/>
  <c r="AA523" i="1"/>
  <c r="G397" i="2"/>
  <c r="AF664" i="1"/>
  <c r="AJ663" i="1"/>
  <c r="AF235" i="1"/>
  <c r="AF228" i="1"/>
  <c r="AF660" i="1"/>
  <c r="AF226" i="1"/>
  <c r="AD485" i="1"/>
  <c r="AD511" i="1" s="1"/>
  <c r="AJ526" i="1"/>
  <c r="U324" i="1"/>
  <c r="U107" i="1"/>
  <c r="AF140" i="1"/>
  <c r="AF229" i="1"/>
  <c r="AF234" i="1"/>
  <c r="J140" i="1"/>
  <c r="AD140" i="1"/>
  <c r="AA65" i="1"/>
  <c r="AA277" i="1"/>
  <c r="AA303" i="1" s="1"/>
  <c r="AA654" i="1" s="1"/>
  <c r="Z140" i="1"/>
  <c r="T240" i="1"/>
  <c r="AA240" i="1"/>
  <c r="AA275" i="1" s="1"/>
  <c r="O12" i="1"/>
  <c r="O574" i="1" s="1"/>
  <c r="O576" i="1" s="1"/>
  <c r="Z323" i="1"/>
  <c r="AJ313" i="1"/>
  <c r="K210" i="1"/>
  <c r="AF483" i="1"/>
  <c r="AF485" i="1" s="1"/>
  <c r="AF511" i="1" s="1"/>
  <c r="AF314" i="1" s="1"/>
  <c r="AF236" i="1"/>
  <c r="AF232" i="1"/>
  <c r="Q273" i="1"/>
  <c r="Y12" i="1"/>
  <c r="Y65" i="1" s="1"/>
  <c r="AA12" i="1"/>
  <c r="AJ529" i="1"/>
  <c r="AJ523" i="1"/>
  <c r="AJ315" i="1"/>
  <c r="AJ522" i="1"/>
  <c r="AD573" i="1"/>
  <c r="AA520" i="1"/>
  <c r="AD273" i="1"/>
  <c r="Q236" i="1"/>
  <c r="AJ317" i="1"/>
  <c r="AJ318" i="1"/>
  <c r="AJ320" i="1"/>
  <c r="AJ520" i="1"/>
  <c r="AD322" i="1"/>
  <c r="AA526" i="1"/>
  <c r="O222" i="1"/>
  <c r="O485" i="1"/>
  <c r="Y140" i="1"/>
  <c r="I240" i="1"/>
  <c r="AH140" i="1"/>
  <c r="AJ528" i="1"/>
  <c r="AJ321" i="1"/>
  <c r="AJ312" i="1"/>
  <c r="AJ521" i="1"/>
  <c r="AD531" i="1"/>
  <c r="AA663" i="1"/>
  <c r="P222" i="1"/>
  <c r="T107" i="1"/>
  <c r="S485" i="1"/>
  <c r="S511" i="1" s="1"/>
  <c r="Y107" i="1"/>
  <c r="Y222" i="1"/>
  <c r="Z12" i="1"/>
  <c r="Z666" i="1" s="1"/>
  <c r="V222" i="1"/>
  <c r="M313" i="1"/>
  <c r="M663" i="1"/>
  <c r="M522" i="1"/>
  <c r="M318" i="1"/>
  <c r="M529" i="1"/>
  <c r="M312" i="1"/>
  <c r="M321" i="1"/>
  <c r="M523" i="1"/>
  <c r="M521" i="1"/>
  <c r="M317" i="1"/>
  <c r="M528" i="1"/>
  <c r="M320" i="1"/>
  <c r="M526" i="1"/>
  <c r="M314" i="1"/>
  <c r="M315" i="1"/>
  <c r="M520" i="1"/>
  <c r="M525" i="1"/>
  <c r="K529" i="1"/>
  <c r="K525" i="1"/>
  <c r="I356" i="2"/>
  <c r="W12" i="1"/>
  <c r="AC485" i="1"/>
  <c r="AC511" i="1" s="1"/>
  <c r="Q233" i="1"/>
  <c r="Q232" i="1"/>
  <c r="AJ222" i="1"/>
  <c r="D33" i="15"/>
  <c r="F33" i="15" s="1"/>
  <c r="K33" i="15" s="1"/>
  <c r="L33" i="15" s="1"/>
  <c r="J323" i="1"/>
  <c r="J532" i="1"/>
  <c r="O226" i="1"/>
  <c r="G382" i="2"/>
  <c r="AH574" i="1"/>
  <c r="AH576" i="1" s="1"/>
  <c r="AH322" i="1"/>
  <c r="AH530" i="1"/>
  <c r="J324" i="1"/>
  <c r="J322" i="1"/>
  <c r="O236" i="1"/>
  <c r="O232" i="1"/>
  <c r="O235" i="1"/>
  <c r="AF531" i="1"/>
  <c r="AF530" i="1"/>
  <c r="Z531" i="1"/>
  <c r="Z322" i="1"/>
  <c r="Y322" i="1"/>
  <c r="Y573" i="1"/>
  <c r="T324" i="1"/>
  <c r="T322" i="1"/>
  <c r="U236" i="1"/>
  <c r="U240" i="1" s="1"/>
  <c r="U275" i="1" s="1"/>
  <c r="U232" i="1"/>
  <c r="U234" i="1"/>
  <c r="AD324" i="1"/>
  <c r="AD664" i="1"/>
  <c r="AA315" i="1"/>
  <c r="AA317" i="1"/>
  <c r="AA313" i="1"/>
  <c r="AA314" i="1"/>
  <c r="W107" i="1"/>
  <c r="J233" i="1"/>
  <c r="J226" i="1"/>
  <c r="J660" i="1"/>
  <c r="AB228" i="1"/>
  <c r="Q234" i="1"/>
  <c r="AB229" i="1"/>
  <c r="O234" i="1"/>
  <c r="O660" i="1"/>
  <c r="AF532" i="1"/>
  <c r="AF324" i="1"/>
  <c r="Z532" i="1"/>
  <c r="Z530" i="1"/>
  <c r="T573" i="1"/>
  <c r="T531" i="1"/>
  <c r="AA525" i="1"/>
  <c r="AA320" i="1"/>
  <c r="AA521" i="1"/>
  <c r="AA529" i="1"/>
  <c r="J388" i="2"/>
  <c r="AH323" i="1"/>
  <c r="J530" i="1"/>
  <c r="O228" i="1"/>
  <c r="O229" i="1"/>
  <c r="O240" i="1" s="1"/>
  <c r="AF573" i="1"/>
  <c r="Z324" i="1"/>
  <c r="Y531" i="1"/>
  <c r="T530" i="1"/>
  <c r="U229" i="1"/>
  <c r="U226" i="1"/>
  <c r="AD323" i="1"/>
  <c r="AA522" i="1"/>
  <c r="AA312" i="1"/>
  <c r="AA318" i="1"/>
  <c r="AA528" i="1"/>
  <c r="H388" i="2"/>
  <c r="AB483" i="1"/>
  <c r="AB485" i="1" s="1"/>
  <c r="AB660" i="1"/>
  <c r="J228" i="1"/>
  <c r="J232" i="1"/>
  <c r="J240" i="1" s="1"/>
  <c r="J235" i="1"/>
  <c r="AB234" i="1"/>
  <c r="U140" i="1"/>
  <c r="K222" i="1"/>
  <c r="K277" i="1" s="1"/>
  <c r="K303" i="1" s="1"/>
  <c r="K654" i="1" s="1"/>
  <c r="K240" i="1"/>
  <c r="X240" i="1"/>
  <c r="AD314" i="1"/>
  <c r="AD525" i="1"/>
  <c r="AD520" i="1"/>
  <c r="AD529" i="1"/>
  <c r="AD317" i="1"/>
  <c r="AD526" i="1"/>
  <c r="AD522" i="1"/>
  <c r="AD528" i="1"/>
  <c r="AD663" i="1"/>
  <c r="AD318" i="1"/>
  <c r="AD321" i="1"/>
  <c r="AD315" i="1"/>
  <c r="AD313" i="1"/>
  <c r="AD523" i="1"/>
  <c r="AD521" i="1"/>
  <c r="AD320" i="1"/>
  <c r="AD312" i="1"/>
  <c r="W323" i="1"/>
  <c r="AC243" i="1"/>
  <c r="AC256" i="1" s="1"/>
  <c r="AC273" i="1" s="1"/>
  <c r="K140" i="1"/>
  <c r="O140" i="1"/>
  <c r="Q660" i="1"/>
  <c r="Q228" i="1"/>
  <c r="S240" i="1"/>
  <c r="AJ240" i="1"/>
  <c r="L222" i="1"/>
  <c r="Q225" i="1"/>
  <c r="M107" i="1"/>
  <c r="L107" i="1"/>
  <c r="Q483" i="1"/>
  <c r="Q485" i="1" s="1"/>
  <c r="Q511" i="1" s="1"/>
  <c r="Q523" i="1" s="1"/>
  <c r="Q226" i="1"/>
  <c r="Q235" i="1"/>
  <c r="G394" i="2"/>
  <c r="U485" i="1"/>
  <c r="U511" i="1" s="1"/>
  <c r="S222" i="1"/>
  <c r="AH243" i="1"/>
  <c r="AH256" i="1" s="1"/>
  <c r="U12" i="1"/>
  <c r="T273" i="1"/>
  <c r="T275" i="1" s="1"/>
  <c r="Q227" i="1"/>
  <c r="AH240" i="1"/>
  <c r="AD12" i="1"/>
  <c r="X222" i="1"/>
  <c r="T243" i="1"/>
  <c r="T256" i="1" s="1"/>
  <c r="T661" i="1"/>
  <c r="S312" i="1"/>
  <c r="S317" i="1"/>
  <c r="S320" i="1"/>
  <c r="S529" i="1"/>
  <c r="S313" i="1"/>
  <c r="S523" i="1"/>
  <c r="S525" i="1"/>
  <c r="S318" i="1"/>
  <c r="S520" i="1"/>
  <c r="S522" i="1"/>
  <c r="S521" i="1"/>
  <c r="S315" i="1"/>
  <c r="S314" i="1"/>
  <c r="S526" i="1"/>
  <c r="S663" i="1"/>
  <c r="S528" i="1"/>
  <c r="S321" i="1"/>
  <c r="K314" i="1"/>
  <c r="AH485" i="1"/>
  <c r="AH511" i="1" s="1"/>
  <c r="AH312" i="1" s="1"/>
  <c r="K321" i="1"/>
  <c r="P107" i="1"/>
  <c r="AF240" i="1"/>
  <c r="AF107" i="1"/>
  <c r="Q222" i="1"/>
  <c r="K317" i="1"/>
  <c r="G373" i="2"/>
  <c r="G377" i="2" s="1"/>
  <c r="AD240" i="1"/>
  <c r="W273" i="1"/>
  <c r="AB222" i="1"/>
  <c r="AD275" i="1"/>
  <c r="J373" i="2"/>
  <c r="H400" i="2"/>
  <c r="AF222" i="1"/>
  <c r="U573" i="1"/>
  <c r="U530" i="1"/>
  <c r="L140" i="1"/>
  <c r="AJ12" i="1"/>
  <c r="U323" i="1"/>
  <c r="U664" i="1"/>
  <c r="L273" i="1"/>
  <c r="T140" i="1"/>
  <c r="U532" i="1"/>
  <c r="J273" i="1"/>
  <c r="I394" i="2"/>
  <c r="K528" i="1"/>
  <c r="K313" i="1"/>
  <c r="K663" i="1"/>
  <c r="K315" i="1"/>
  <c r="K320" i="1"/>
  <c r="Z574" i="1"/>
  <c r="Z576" i="1" s="1"/>
  <c r="AC107" i="1"/>
  <c r="K273" i="1"/>
  <c r="K275" i="1" s="1"/>
  <c r="L233" i="1"/>
  <c r="L235" i="1"/>
  <c r="L234" i="1"/>
  <c r="L225" i="1"/>
  <c r="L227" i="1"/>
  <c r="L660" i="1"/>
  <c r="L226" i="1"/>
  <c r="L229" i="1"/>
  <c r="L228" i="1"/>
  <c r="L236" i="1"/>
  <c r="L232" i="1"/>
  <c r="L483" i="1"/>
  <c r="L485" i="1" s="1"/>
  <c r="L511" i="1" s="1"/>
  <c r="K521" i="1"/>
  <c r="K318" i="1"/>
  <c r="K523" i="1"/>
  <c r="K312" i="1"/>
  <c r="V485" i="1"/>
  <c r="V511" i="1" s="1"/>
  <c r="K107" i="1"/>
  <c r="W140" i="1"/>
  <c r="L12" i="1"/>
  <c r="AC229" i="1"/>
  <c r="AC234" i="1"/>
  <c r="AC227" i="1"/>
  <c r="AC228" i="1"/>
  <c r="AC233" i="1"/>
  <c r="AC236" i="1"/>
  <c r="AC225" i="1"/>
  <c r="AC235" i="1"/>
  <c r="AC226" i="1"/>
  <c r="AC232" i="1"/>
  <c r="AC660" i="1"/>
  <c r="M240" i="1"/>
  <c r="M277" i="1" s="1"/>
  <c r="K520" i="1"/>
  <c r="K522" i="1"/>
  <c r="K526" i="1"/>
  <c r="M275" i="1"/>
  <c r="V140" i="1"/>
  <c r="V107" i="1"/>
  <c r="AB240" i="1"/>
  <c r="L323" i="1"/>
  <c r="L322" i="1"/>
  <c r="L573" i="1"/>
  <c r="L531" i="1"/>
  <c r="L532" i="1"/>
  <c r="L664" i="1"/>
  <c r="L324" i="1"/>
  <c r="L530" i="1"/>
  <c r="U661" i="1"/>
  <c r="U243" i="1"/>
  <c r="U256" i="1" s="1"/>
  <c r="U273" i="1" s="1"/>
  <c r="S273" i="1"/>
  <c r="S275" i="1" s="1"/>
  <c r="Z233" i="1"/>
  <c r="Z235" i="1"/>
  <c r="Z225" i="1"/>
  <c r="Z228" i="1"/>
  <c r="Z234" i="1"/>
  <c r="Z229" i="1"/>
  <c r="Z236" i="1"/>
  <c r="Z226" i="1"/>
  <c r="Z227" i="1"/>
  <c r="Z660" i="1"/>
  <c r="Z232" i="1"/>
  <c r="Z483" i="1"/>
  <c r="Z485" i="1" s="1"/>
  <c r="Z511" i="1" s="1"/>
  <c r="M323" i="1"/>
  <c r="M530" i="1"/>
  <c r="M324" i="1"/>
  <c r="M664" i="1"/>
  <c r="M573" i="1"/>
  <c r="M531" i="1"/>
  <c r="M322" i="1"/>
  <c r="M532" i="1"/>
  <c r="W531" i="1"/>
  <c r="W324" i="1"/>
  <c r="Z65" i="1"/>
  <c r="Z114" i="1" s="1"/>
  <c r="V12" i="1"/>
  <c r="V65" i="1" s="1"/>
  <c r="H234" i="1"/>
  <c r="H232" i="1"/>
  <c r="H229" i="1"/>
  <c r="H226" i="1"/>
  <c r="H225" i="1"/>
  <c r="H227" i="1"/>
  <c r="H235" i="1"/>
  <c r="H233" i="1"/>
  <c r="H236" i="1"/>
  <c r="H660" i="1"/>
  <c r="H228" i="1"/>
  <c r="Y661" i="1"/>
  <c r="Y243" i="1"/>
  <c r="Y256" i="1" s="1"/>
  <c r="Y273" i="1" s="1"/>
  <c r="K12" i="1"/>
  <c r="V225" i="1"/>
  <c r="V236" i="1"/>
  <c r="V233" i="1"/>
  <c r="V234" i="1"/>
  <c r="V235" i="1"/>
  <c r="V227" i="1"/>
  <c r="V232" i="1"/>
  <c r="V229" i="1"/>
  <c r="V228" i="1"/>
  <c r="V660" i="1"/>
  <c r="V226" i="1"/>
  <c r="H373" i="2"/>
  <c r="H377" i="2" s="1"/>
  <c r="I373" i="2"/>
  <c r="I377" i="2" s="1"/>
  <c r="W232" i="1"/>
  <c r="W227" i="1"/>
  <c r="W226" i="1"/>
  <c r="W660" i="1"/>
  <c r="W233" i="1"/>
  <c r="W483" i="1"/>
  <c r="W485" i="1" s="1"/>
  <c r="W511" i="1" s="1"/>
  <c r="W228" i="1"/>
  <c r="W229" i="1"/>
  <c r="W236" i="1"/>
  <c r="W234" i="1"/>
  <c r="W235" i="1"/>
  <c r="W225" i="1"/>
  <c r="AF273" i="1"/>
  <c r="W322" i="1"/>
  <c r="W530" i="1"/>
  <c r="AK481" i="1"/>
  <c r="AL481" i="1" s="1"/>
  <c r="X140" i="1"/>
  <c r="M12" i="1"/>
  <c r="AJ273" i="1"/>
  <c r="AJ275" i="1" s="1"/>
  <c r="W664" i="1"/>
  <c r="X273" i="1"/>
  <c r="Y240" i="1"/>
  <c r="K530" i="1"/>
  <c r="K323" i="1"/>
  <c r="K573" i="1"/>
  <c r="K531" i="1"/>
  <c r="K664" i="1"/>
  <c r="K322" i="1"/>
  <c r="K324" i="1"/>
  <c r="K532" i="1"/>
  <c r="Z273" i="1"/>
  <c r="O273" i="1"/>
  <c r="AH273" i="1"/>
  <c r="AH275" i="1" s="1"/>
  <c r="T523" i="1"/>
  <c r="T317" i="1"/>
  <c r="T663" i="1"/>
  <c r="T525" i="1"/>
  <c r="T312" i="1"/>
  <c r="T320" i="1"/>
  <c r="T321" i="1"/>
  <c r="T520" i="1"/>
  <c r="T318" i="1"/>
  <c r="T521" i="1"/>
  <c r="T528" i="1"/>
  <c r="T313" i="1"/>
  <c r="T314" i="1"/>
  <c r="T315" i="1"/>
  <c r="T529" i="1"/>
  <c r="T522" i="1"/>
  <c r="T526" i="1"/>
  <c r="Q65" i="1"/>
  <c r="Q666" i="1"/>
  <c r="Q574" i="1"/>
  <c r="Q576" i="1" s="1"/>
  <c r="I428" i="1"/>
  <c r="AK428" i="1" s="1"/>
  <c r="AL428" i="1" s="1"/>
  <c r="AK424" i="1"/>
  <c r="AL424" i="1" s="1"/>
  <c r="AC531" i="1"/>
  <c r="AC324" i="1"/>
  <c r="AC573" i="1"/>
  <c r="AC532" i="1"/>
  <c r="AC664" i="1"/>
  <c r="AC323" i="1"/>
  <c r="AC322" i="1"/>
  <c r="AC530" i="1"/>
  <c r="X511" i="1"/>
  <c r="T666" i="1"/>
  <c r="T574" i="1"/>
  <c r="T576" i="1" s="1"/>
  <c r="T65" i="1"/>
  <c r="H385" i="2"/>
  <c r="H557" i="2"/>
  <c r="G1104" i="2"/>
  <c r="G36" i="7"/>
  <c r="AB57" i="1"/>
  <c r="AK57" i="1" s="1"/>
  <c r="AL57" i="1" s="1"/>
  <c r="AB59" i="1"/>
  <c r="AK59" i="1" s="1"/>
  <c r="AL59" i="1" s="1"/>
  <c r="AB648" i="1"/>
  <c r="AK648" i="1" s="1"/>
  <c r="AL648" i="1" s="1"/>
  <c r="AB8" i="1"/>
  <c r="AK8" i="1" s="1"/>
  <c r="AL8" i="1" s="1"/>
  <c r="AB105" i="1"/>
  <c r="AK105" i="1" s="1"/>
  <c r="AL105" i="1" s="1"/>
  <c r="AB136" i="1"/>
  <c r="AK136" i="1" s="1"/>
  <c r="AL136" i="1" s="1"/>
  <c r="AB9" i="1"/>
  <c r="AK9" i="1" s="1"/>
  <c r="AL9" i="1" s="1"/>
  <c r="AB104" i="1"/>
  <c r="AK104" i="1" s="1"/>
  <c r="AL104" i="1" s="1"/>
  <c r="AB10" i="1"/>
  <c r="AK10" i="1" s="1"/>
  <c r="AL10" i="1" s="1"/>
  <c r="AB60" i="1"/>
  <c r="AB126" i="1"/>
  <c r="AB128" i="1" s="1"/>
  <c r="AB73" i="1"/>
  <c r="AB76" i="1" s="1"/>
  <c r="AB93" i="1" s="1"/>
  <c r="H655" i="1"/>
  <c r="AK655" i="1" s="1"/>
  <c r="AL655" i="1" s="1"/>
  <c r="H149" i="1"/>
  <c r="H377" i="1"/>
  <c r="AK366" i="1"/>
  <c r="AL366" i="1" s="1"/>
  <c r="J1107" i="2"/>
  <c r="J569" i="2" s="1"/>
  <c r="AH652" i="1"/>
  <c r="F54" i="2"/>
  <c r="K54" i="2" s="1"/>
  <c r="AH113" i="1"/>
  <c r="AH92" i="1"/>
  <c r="AH95" i="1" s="1"/>
  <c r="AH78" i="1"/>
  <c r="AH114" i="1"/>
  <c r="AF666" i="1"/>
  <c r="AF574" i="1"/>
  <c r="AF576" i="1" s="1"/>
  <c r="AF65" i="1"/>
  <c r="H165" i="1"/>
  <c r="AK165" i="1" s="1"/>
  <c r="AL165" i="1" s="1"/>
  <c r="AK159" i="1"/>
  <c r="AL159" i="1" s="1"/>
  <c r="O511" i="1"/>
  <c r="J511" i="1"/>
  <c r="AA114" i="1"/>
  <c r="AA652" i="1"/>
  <c r="AA113" i="1"/>
  <c r="AA78" i="1"/>
  <c r="F38" i="2"/>
  <c r="I38" i="2" s="1"/>
  <c r="AA92" i="1"/>
  <c r="AA95" i="1" s="1"/>
  <c r="AC12" i="1"/>
  <c r="F351" i="2"/>
  <c r="F357" i="2" s="1"/>
  <c r="F402" i="2" s="1"/>
  <c r="AK583" i="1"/>
  <c r="AL583" i="1" s="1"/>
  <c r="H662" i="1"/>
  <c r="H261" i="1"/>
  <c r="AK479" i="1"/>
  <c r="AL479" i="1" s="1"/>
  <c r="I140" i="1"/>
  <c r="I12" i="1"/>
  <c r="I557" i="2"/>
  <c r="I385" i="2"/>
  <c r="H107" i="1"/>
  <c r="AK60" i="1"/>
  <c r="AL60" i="1" s="1"/>
  <c r="U65" i="1"/>
  <c r="U574" i="1"/>
  <c r="U666" i="1"/>
  <c r="P12" i="1"/>
  <c r="P140" i="1"/>
  <c r="Y666" i="1"/>
  <c r="AK103" i="1"/>
  <c r="AL103" i="1" s="1"/>
  <c r="AF663" i="1"/>
  <c r="AF317" i="1"/>
  <c r="AF528" i="1"/>
  <c r="AF315" i="1"/>
  <c r="S666" i="1"/>
  <c r="S574" i="1"/>
  <c r="S576" i="1" s="1"/>
  <c r="S65" i="1"/>
  <c r="H128" i="1"/>
  <c r="AK477" i="1"/>
  <c r="AL477" i="1" s="1"/>
  <c r="AK581" i="1"/>
  <c r="AL581" i="1" s="1"/>
  <c r="AH529" i="1"/>
  <c r="AH315" i="1"/>
  <c r="AH520" i="1"/>
  <c r="AH317" i="1"/>
  <c r="W65" i="1"/>
  <c r="W666" i="1"/>
  <c r="W574" i="1"/>
  <c r="W576" i="1" s="1"/>
  <c r="Y528" i="1"/>
  <c r="Y521" i="1"/>
  <c r="Y526" i="1"/>
  <c r="Y313" i="1"/>
  <c r="Y663" i="1"/>
  <c r="Y314" i="1"/>
  <c r="Y523" i="1"/>
  <c r="Y321" i="1"/>
  <c r="Y317" i="1"/>
  <c r="Y522" i="1"/>
  <c r="Y315" i="1"/>
  <c r="Y520" i="1"/>
  <c r="Y529" i="1"/>
  <c r="Y320" i="1"/>
  <c r="Y318" i="1"/>
  <c r="Y525" i="1"/>
  <c r="Y312" i="1"/>
  <c r="I220" i="1"/>
  <c r="AK220" i="1" s="1"/>
  <c r="AL220" i="1" s="1"/>
  <c r="AK213" i="1"/>
  <c r="AL213" i="1" s="1"/>
  <c r="I398" i="1"/>
  <c r="AK387" i="1"/>
  <c r="AL387" i="1" s="1"/>
  <c r="I657" i="1"/>
  <c r="AK657" i="1" s="1"/>
  <c r="AL657" i="1" s="1"/>
  <c r="I170" i="1"/>
  <c r="V666" i="1"/>
  <c r="I530" i="1"/>
  <c r="I324" i="1"/>
  <c r="I532" i="1"/>
  <c r="I664" i="1"/>
  <c r="I322" i="1"/>
  <c r="I573" i="1"/>
  <c r="I531" i="1"/>
  <c r="I323" i="1"/>
  <c r="J574" i="1"/>
  <c r="J576" i="1" s="1"/>
  <c r="J65" i="1"/>
  <c r="J666" i="1"/>
  <c r="P225" i="1"/>
  <c r="P234" i="1"/>
  <c r="P226" i="1"/>
  <c r="P232" i="1"/>
  <c r="P660" i="1"/>
  <c r="P235" i="1"/>
  <c r="P233" i="1"/>
  <c r="P228" i="1"/>
  <c r="P236" i="1"/>
  <c r="P229" i="1"/>
  <c r="P227" i="1"/>
  <c r="P483" i="1"/>
  <c r="AC140" i="1"/>
  <c r="H12" i="1"/>
  <c r="H138" i="1"/>
  <c r="G388" i="2"/>
  <c r="G560" i="2"/>
  <c r="T1105" i="2"/>
  <c r="U1105" i="2" s="1"/>
  <c r="V1105" i="2" s="1"/>
  <c r="I457" i="1"/>
  <c r="AB633" i="1"/>
  <c r="AK454" i="1"/>
  <c r="AL454" i="1" s="1"/>
  <c r="AK134" i="1"/>
  <c r="AK634" i="1"/>
  <c r="AL634" i="1" s="1"/>
  <c r="V661" i="1"/>
  <c r="V243" i="1"/>
  <c r="V256" i="1" s="1"/>
  <c r="V273" i="1" s="1"/>
  <c r="AK442" i="1"/>
  <c r="AL442" i="1" s="1"/>
  <c r="AB261" i="1"/>
  <c r="AB271" i="1" s="1"/>
  <c r="AB662" i="1"/>
  <c r="M303" i="1"/>
  <c r="M654" i="1" s="1"/>
  <c r="O666" i="1"/>
  <c r="AC526" i="1"/>
  <c r="AC312" i="1"/>
  <c r="AC663" i="1"/>
  <c r="AC523" i="1"/>
  <c r="AC528" i="1"/>
  <c r="AC318" i="1"/>
  <c r="AC315" i="1"/>
  <c r="AC320" i="1"/>
  <c r="AC525" i="1"/>
  <c r="AC521" i="1"/>
  <c r="AC314" i="1"/>
  <c r="AC522" i="1"/>
  <c r="AC313" i="1"/>
  <c r="AC520" i="1"/>
  <c r="AC529" i="1"/>
  <c r="AC317" i="1"/>
  <c r="AC321" i="1"/>
  <c r="V573" i="1"/>
  <c r="V532" i="1"/>
  <c r="V324" i="1"/>
  <c r="V664" i="1"/>
  <c r="V323" i="1"/>
  <c r="V530" i="1"/>
  <c r="V322" i="1"/>
  <c r="V531" i="1"/>
  <c r="AK197" i="1"/>
  <c r="AL197" i="1" s="1"/>
  <c r="H208" i="1"/>
  <c r="AK208" i="1" s="1"/>
  <c r="AL208" i="1" s="1"/>
  <c r="I658" i="1"/>
  <c r="AK658" i="1" s="1"/>
  <c r="AL658" i="1" s="1"/>
  <c r="I180" i="1"/>
  <c r="AK396" i="1"/>
  <c r="AL396" i="1" s="1"/>
  <c r="AK469" i="1"/>
  <c r="AL469" i="1" s="1"/>
  <c r="I107" i="1"/>
  <c r="L521" i="1"/>
  <c r="L317" i="1"/>
  <c r="L320" i="1"/>
  <c r="L522" i="1"/>
  <c r="L318" i="1"/>
  <c r="L520" i="1"/>
  <c r="L312" i="1"/>
  <c r="L663" i="1"/>
  <c r="L528" i="1"/>
  <c r="L523" i="1"/>
  <c r="L526" i="1"/>
  <c r="L525" i="1"/>
  <c r="L529" i="1"/>
  <c r="L313" i="1"/>
  <c r="L321" i="1"/>
  <c r="L315" i="1"/>
  <c r="L314" i="1"/>
  <c r="AK47" i="1"/>
  <c r="AL47" i="1" s="1"/>
  <c r="H76" i="1"/>
  <c r="AK73" i="1"/>
  <c r="AL73" i="1" s="1"/>
  <c r="H530" i="1"/>
  <c r="H532" i="1"/>
  <c r="H573" i="1"/>
  <c r="H322" i="1"/>
  <c r="H531" i="1"/>
  <c r="H324" i="1"/>
  <c r="H664" i="1"/>
  <c r="H323" i="1"/>
  <c r="AK72" i="1"/>
  <c r="AL72" i="1" s="1"/>
  <c r="P531" i="1"/>
  <c r="P664" i="1"/>
  <c r="P323" i="1"/>
  <c r="P324" i="1"/>
  <c r="P532" i="1"/>
  <c r="P322" i="1"/>
  <c r="P530" i="1"/>
  <c r="P573" i="1"/>
  <c r="AD666" i="1"/>
  <c r="AD65" i="1"/>
  <c r="AD574" i="1"/>
  <c r="AD576" i="1" s="1"/>
  <c r="F330" i="1"/>
  <c r="F597" i="1"/>
  <c r="AB511" i="1"/>
  <c r="X12" i="1"/>
  <c r="X573" i="1"/>
  <c r="X324" i="1"/>
  <c r="X664" i="1"/>
  <c r="X531" i="1"/>
  <c r="X322" i="1"/>
  <c r="X323" i="1"/>
  <c r="X532" i="1"/>
  <c r="X530" i="1"/>
  <c r="H549" i="2"/>
  <c r="H355" i="2"/>
  <c r="H356" i="2"/>
  <c r="H654" i="2"/>
  <c r="H354" i="2"/>
  <c r="H527" i="2"/>
  <c r="H528" i="2"/>
  <c r="H526" i="2"/>
  <c r="G549" i="2"/>
  <c r="J528" i="2"/>
  <c r="J400" i="2"/>
  <c r="J355" i="2"/>
  <c r="J526" i="2"/>
  <c r="J527" i="2"/>
  <c r="J391" i="2"/>
  <c r="J563" i="2"/>
  <c r="J572" i="2"/>
  <c r="J356" i="2"/>
  <c r="J654" i="2"/>
  <c r="J354" i="2"/>
  <c r="J866" i="2"/>
  <c r="J880" i="2"/>
  <c r="I1143" i="2"/>
  <c r="T1142" i="2"/>
  <c r="U1142" i="2" s="1"/>
  <c r="V1142" i="2" s="1"/>
  <c r="K798" i="2"/>
  <c r="K658" i="2"/>
  <c r="K799" i="2"/>
  <c r="K665" i="2"/>
  <c r="K548" i="2"/>
  <c r="K1116" i="2"/>
  <c r="K538" i="2"/>
  <c r="K662" i="2"/>
  <c r="K1108" i="2"/>
  <c r="K572" i="2" s="1"/>
  <c r="K663" i="2"/>
  <c r="K651" i="2"/>
  <c r="K838" i="2" s="1"/>
  <c r="K656" i="2"/>
  <c r="K825" i="2"/>
  <c r="K1107" i="2"/>
  <c r="K397" i="2" s="1"/>
  <c r="K544" i="2"/>
  <c r="K1106" i="2"/>
  <c r="K369" i="2"/>
  <c r="K385" i="2"/>
  <c r="K804" i="2"/>
  <c r="K830" i="2" s="1"/>
  <c r="K794" i="2"/>
  <c r="K1103" i="2"/>
  <c r="K806" i="2"/>
  <c r="K797" i="2"/>
  <c r="K666" i="2"/>
  <c r="K553" i="2"/>
  <c r="K552" i="2"/>
  <c r="K652" i="2"/>
  <c r="K1100" i="2"/>
  <c r="K557" i="2"/>
  <c r="K374" i="2"/>
  <c r="K376" i="2"/>
  <c r="K372" i="2"/>
  <c r="K375" i="2"/>
  <c r="K373" i="2"/>
  <c r="K659" i="2"/>
  <c r="K1072" i="2"/>
  <c r="K1084" i="2" s="1"/>
  <c r="K1025" i="2"/>
  <c r="K1115" i="2"/>
  <c r="K657" i="2"/>
  <c r="K653" i="2"/>
  <c r="K546" i="2"/>
  <c r="K829" i="2"/>
  <c r="K796" i="2"/>
  <c r="K541" i="2"/>
  <c r="K547" i="2"/>
  <c r="K380" i="2"/>
  <c r="K388" i="2"/>
  <c r="K805" i="2"/>
  <c r="K545" i="2"/>
  <c r="K560" i="2"/>
  <c r="K381" i="2"/>
  <c r="L1" i="2"/>
  <c r="K828" i="2"/>
  <c r="K366" i="2"/>
  <c r="K795" i="2"/>
  <c r="K667" i="2"/>
  <c r="K803" i="2"/>
  <c r="K1208" i="2"/>
  <c r="K38" i="2"/>
  <c r="K826" i="2"/>
  <c r="D32" i="19" s="1"/>
  <c r="E32" i="19" s="1"/>
  <c r="K32" i="19" s="1"/>
  <c r="L32" i="19" s="1"/>
  <c r="K664" i="2"/>
  <c r="K1117" i="2"/>
  <c r="J1132" i="2"/>
  <c r="T1131" i="2"/>
  <c r="U1131" i="2" s="1"/>
  <c r="V1131" i="2" s="1"/>
  <c r="J1118" i="2"/>
  <c r="D33" i="17"/>
  <c r="F33" i="17" s="1"/>
  <c r="K33" i="17" s="1"/>
  <c r="L33" i="17" s="1"/>
  <c r="L1176" i="2"/>
  <c r="T1152" i="2"/>
  <c r="F916" i="2"/>
  <c r="F951" i="2"/>
  <c r="F956" i="2" s="1"/>
  <c r="F1022" i="2"/>
  <c r="F901" i="2"/>
  <c r="AF321" i="1" l="1"/>
  <c r="AF521" i="1"/>
  <c r="AF320" i="1"/>
  <c r="AF522" i="1"/>
  <c r="Y574" i="1"/>
  <c r="Y576" i="1" s="1"/>
  <c r="O65" i="1"/>
  <c r="AF525" i="1"/>
  <c r="AF526" i="1"/>
  <c r="AF312" i="1"/>
  <c r="AF313" i="1"/>
  <c r="AF529" i="1"/>
  <c r="AF520" i="1"/>
  <c r="AF523" i="1"/>
  <c r="AF318" i="1"/>
  <c r="AA666" i="1"/>
  <c r="AA574" i="1"/>
  <c r="AA576" i="1" s="1"/>
  <c r="F324" i="2" s="1"/>
  <c r="K324" i="2" s="1"/>
  <c r="AD277" i="1"/>
  <c r="AD303" i="1" s="1"/>
  <c r="AD654" i="1" s="1"/>
  <c r="S277" i="1"/>
  <c r="Q521" i="1"/>
  <c r="AK232" i="1"/>
  <c r="AL232" i="1" s="1"/>
  <c r="Q526" i="1"/>
  <c r="Q240" i="1"/>
  <c r="Q525" i="1"/>
  <c r="Q312" i="1"/>
  <c r="Q275" i="1"/>
  <c r="Q277" i="1"/>
  <c r="Q303" i="1" s="1"/>
  <c r="Q654" i="1" s="1"/>
  <c r="Q318" i="1"/>
  <c r="Q321" i="1"/>
  <c r="Q522" i="1"/>
  <c r="Q663" i="1"/>
  <c r="AB138" i="1"/>
  <c r="AB140" i="1" s="1"/>
  <c r="AF275" i="1"/>
  <c r="Q317" i="1"/>
  <c r="Q320" i="1"/>
  <c r="Q314" i="1"/>
  <c r="Q520" i="1"/>
  <c r="T277" i="1"/>
  <c r="T303" i="1" s="1"/>
  <c r="T654" i="1" s="1"/>
  <c r="Q313" i="1"/>
  <c r="Q315" i="1"/>
  <c r="Q528" i="1"/>
  <c r="Q529" i="1"/>
  <c r="AH523" i="1"/>
  <c r="AH314" i="1"/>
  <c r="AH663" i="1"/>
  <c r="AH528" i="1"/>
  <c r="AH320" i="1"/>
  <c r="J277" i="1"/>
  <c r="J303" i="1" s="1"/>
  <c r="J654" i="1" s="1"/>
  <c r="AH525" i="1"/>
  <c r="AH313" i="1"/>
  <c r="AH526" i="1"/>
  <c r="AH522" i="1"/>
  <c r="AK228" i="1"/>
  <c r="AL228" i="1" s="1"/>
  <c r="Z78" i="1"/>
  <c r="AH521" i="1"/>
  <c r="AH321" i="1"/>
  <c r="AH318" i="1"/>
  <c r="U576" i="1"/>
  <c r="AK236" i="1"/>
  <c r="AL236" i="1" s="1"/>
  <c r="Y275" i="1"/>
  <c r="U277" i="1"/>
  <c r="U303" i="1" s="1"/>
  <c r="U654" i="1" s="1"/>
  <c r="V574" i="1"/>
  <c r="AC240" i="1"/>
  <c r="AC275" i="1" s="1"/>
  <c r="J275" i="1"/>
  <c r="AJ65" i="1"/>
  <c r="AJ574" i="1"/>
  <c r="AJ576" i="1" s="1"/>
  <c r="AJ666" i="1"/>
  <c r="J394" i="2"/>
  <c r="AK227" i="1"/>
  <c r="AL227" i="1" s="1"/>
  <c r="L240" i="1"/>
  <c r="J566" i="2"/>
  <c r="J397" i="2"/>
  <c r="AK660" i="1"/>
  <c r="AL660" i="1" s="1"/>
  <c r="Z113" i="1"/>
  <c r="AH277" i="1"/>
  <c r="AH303" i="1" s="1"/>
  <c r="AH654" i="1" s="1"/>
  <c r="L666" i="1"/>
  <c r="L65" i="1"/>
  <c r="L574" i="1"/>
  <c r="L576" i="1" s="1"/>
  <c r="F298" i="2" s="1"/>
  <c r="AK233" i="1"/>
  <c r="AL233" i="1" s="1"/>
  <c r="AK226" i="1"/>
  <c r="AL226" i="1" s="1"/>
  <c r="F37" i="2"/>
  <c r="G37" i="2" s="1"/>
  <c r="AK662" i="1"/>
  <c r="AL662" i="1" s="1"/>
  <c r="Y277" i="1"/>
  <c r="Y303" i="1" s="1"/>
  <c r="Y654" i="1" s="1"/>
  <c r="W522" i="1"/>
  <c r="W314" i="1"/>
  <c r="W318" i="1"/>
  <c r="W320" i="1"/>
  <c r="W521" i="1"/>
  <c r="W526" i="1"/>
  <c r="W312" i="1"/>
  <c r="W529" i="1"/>
  <c r="W317" i="1"/>
  <c r="W663" i="1"/>
  <c r="W525" i="1"/>
  <c r="W523" i="1"/>
  <c r="W528" i="1"/>
  <c r="W313" i="1"/>
  <c r="W321" i="1"/>
  <c r="W520" i="1"/>
  <c r="W315" i="1"/>
  <c r="V240" i="1"/>
  <c r="V275" i="1" s="1"/>
  <c r="K574" i="1"/>
  <c r="K576" i="1" s="1"/>
  <c r="F297" i="2" s="1"/>
  <c r="K65" i="1"/>
  <c r="K666" i="1"/>
  <c r="Z523" i="1"/>
  <c r="Z318" i="1"/>
  <c r="Z663" i="1"/>
  <c r="Z313" i="1"/>
  <c r="Z522" i="1"/>
  <c r="Z529" i="1"/>
  <c r="Z526" i="1"/>
  <c r="Z525" i="1"/>
  <c r="Z315" i="1"/>
  <c r="Z528" i="1"/>
  <c r="Z320" i="1"/>
  <c r="Z321" i="1"/>
  <c r="Z521" i="1"/>
  <c r="Z314" i="1"/>
  <c r="Z312" i="1"/>
  <c r="Z317" i="1"/>
  <c r="Z520" i="1"/>
  <c r="Z240" i="1"/>
  <c r="Z277" i="1" s="1"/>
  <c r="Z303" i="1" s="1"/>
  <c r="Z654" i="1" s="1"/>
  <c r="AC277" i="1"/>
  <c r="AK229" i="1"/>
  <c r="AL229" i="1" s="1"/>
  <c r="AK235" i="1"/>
  <c r="AL235" i="1" s="1"/>
  <c r="AK234" i="1"/>
  <c r="AL234" i="1" s="1"/>
  <c r="Z92" i="1"/>
  <c r="Z95" i="1" s="1"/>
  <c r="Z591" i="1" s="1"/>
  <c r="F614" i="2" s="1"/>
  <c r="L614" i="2" s="1"/>
  <c r="X275" i="1"/>
  <c r="X277" i="1"/>
  <c r="X303" i="1" s="1"/>
  <c r="X654" i="1" s="1"/>
  <c r="M574" i="1"/>
  <c r="M576" i="1" s="1"/>
  <c r="F299" i="2" s="1"/>
  <c r="K299" i="2" s="1"/>
  <c r="M666" i="1"/>
  <c r="M65" i="1"/>
  <c r="H240" i="1"/>
  <c r="AF277" i="1"/>
  <c r="AF303" i="1" s="1"/>
  <c r="AF654" i="1" s="1"/>
  <c r="Z275" i="1"/>
  <c r="Z652" i="1"/>
  <c r="AK126" i="1"/>
  <c r="AK128" i="1" s="1"/>
  <c r="W240" i="1"/>
  <c r="AJ277" i="1"/>
  <c r="AJ303" i="1" s="1"/>
  <c r="AJ654" i="1" s="1"/>
  <c r="F305" i="2"/>
  <c r="F319" i="2"/>
  <c r="F334" i="2"/>
  <c r="AF92" i="1"/>
  <c r="AF95" i="1" s="1"/>
  <c r="F51" i="2"/>
  <c r="L51" i="2" s="1"/>
  <c r="AF652" i="1"/>
  <c r="AF113" i="1"/>
  <c r="AF78" i="1"/>
  <c r="AF114" i="1"/>
  <c r="F340" i="2"/>
  <c r="K340" i="2" s="1"/>
  <c r="AK377" i="1"/>
  <c r="AL377" i="1" s="1"/>
  <c r="H421" i="1"/>
  <c r="X65" i="1"/>
  <c r="X666" i="1"/>
  <c r="X574" i="1"/>
  <c r="X576" i="1" s="1"/>
  <c r="AB314" i="1"/>
  <c r="AB521" i="1"/>
  <c r="AB313" i="1"/>
  <c r="AB318" i="1"/>
  <c r="AB528" i="1"/>
  <c r="AB321" i="1"/>
  <c r="AB315" i="1"/>
  <c r="AB520" i="1"/>
  <c r="AB529" i="1"/>
  <c r="AB525" i="1"/>
  <c r="AB526" i="1"/>
  <c r="AB522" i="1"/>
  <c r="AB317" i="1"/>
  <c r="AB663" i="1"/>
  <c r="AB320" i="1"/>
  <c r="AB523" i="1"/>
  <c r="AB312" i="1"/>
  <c r="F48" i="2"/>
  <c r="L48" i="2" s="1"/>
  <c r="AD92" i="1"/>
  <c r="AD95" i="1" s="1"/>
  <c r="AD113" i="1"/>
  <c r="AD78" i="1"/>
  <c r="AD652" i="1"/>
  <c r="AD114" i="1"/>
  <c r="V576" i="1"/>
  <c r="F317" i="2"/>
  <c r="U523" i="1"/>
  <c r="U318" i="1"/>
  <c r="U313" i="1"/>
  <c r="U529" i="1"/>
  <c r="U663" i="1"/>
  <c r="U315" i="1"/>
  <c r="U528" i="1"/>
  <c r="U521" i="1"/>
  <c r="U526" i="1"/>
  <c r="U312" i="1"/>
  <c r="U525" i="1"/>
  <c r="U321" i="1"/>
  <c r="U320" i="1"/>
  <c r="U317" i="1"/>
  <c r="U520" i="1"/>
  <c r="U522" i="1"/>
  <c r="U314" i="1"/>
  <c r="AC303" i="1"/>
  <c r="AC654" i="1" s="1"/>
  <c r="AB445" i="1"/>
  <c r="AK633" i="1"/>
  <c r="AL633" i="1" s="1"/>
  <c r="P485" i="1"/>
  <c r="AK483" i="1"/>
  <c r="AL483" i="1" s="1"/>
  <c r="V113" i="1"/>
  <c r="V114" i="1"/>
  <c r="V92" i="1"/>
  <c r="V95" i="1" s="1"/>
  <c r="F30" i="2"/>
  <c r="L30" i="2" s="1"/>
  <c r="V78" i="1"/>
  <c r="V652" i="1"/>
  <c r="AK398" i="1"/>
  <c r="AL398" i="1" s="1"/>
  <c r="I421" i="1"/>
  <c r="I485" i="1" s="1"/>
  <c r="Z527" i="1"/>
  <c r="Z109" i="1"/>
  <c r="F95" i="2" s="1"/>
  <c r="Z593" i="1"/>
  <c r="Z319" i="1"/>
  <c r="Z585" i="1"/>
  <c r="F437" i="2" s="1"/>
  <c r="L437" i="2" s="1"/>
  <c r="Z587" i="1"/>
  <c r="F494" i="2" s="1"/>
  <c r="L494" i="2" s="1"/>
  <c r="Z316" i="1"/>
  <c r="I324" i="2"/>
  <c r="H324" i="2"/>
  <c r="G324" i="2"/>
  <c r="S114" i="1"/>
  <c r="F23" i="2"/>
  <c r="S78" i="1"/>
  <c r="S652" i="1"/>
  <c r="S113" i="1"/>
  <c r="S92" i="1"/>
  <c r="S95" i="1" s="1"/>
  <c r="Y652" i="1"/>
  <c r="Y78" i="1"/>
  <c r="Y113" i="1"/>
  <c r="F33" i="2"/>
  <c r="Y114" i="1"/>
  <c r="Y92" i="1"/>
  <c r="Y95" i="1" s="1"/>
  <c r="F39" i="2"/>
  <c r="G38" i="2"/>
  <c r="H38" i="2"/>
  <c r="J38" i="2"/>
  <c r="H54" i="2"/>
  <c r="G54" i="2"/>
  <c r="I54" i="2"/>
  <c r="J54" i="2"/>
  <c r="H156" i="1"/>
  <c r="H167" i="1" s="1"/>
  <c r="AK149" i="1"/>
  <c r="G385" i="2"/>
  <c r="G557" i="2"/>
  <c r="T1104" i="2"/>
  <c r="U1104" i="2" s="1"/>
  <c r="V1104" i="2" s="1"/>
  <c r="F323" i="2"/>
  <c r="F303" i="2"/>
  <c r="T114" i="1"/>
  <c r="T652" i="1"/>
  <c r="T113" i="1"/>
  <c r="F26" i="2"/>
  <c r="L26" i="2" s="1"/>
  <c r="T78" i="1"/>
  <c r="T92" i="1"/>
  <c r="T95" i="1" s="1"/>
  <c r="F315" i="2"/>
  <c r="H93" i="1"/>
  <c r="AK93" i="1" s="1"/>
  <c r="AL93" i="1" s="1"/>
  <c r="AK76" i="1"/>
  <c r="AL76" i="1" s="1"/>
  <c r="F337" i="2"/>
  <c r="K337" i="2" s="1"/>
  <c r="O113" i="1"/>
  <c r="O92" i="1"/>
  <c r="O95" i="1" s="1"/>
  <c r="O114" i="1"/>
  <c r="O652" i="1"/>
  <c r="F17" i="2"/>
  <c r="O78" i="1"/>
  <c r="F343" i="2"/>
  <c r="AK138" i="1"/>
  <c r="AL138" i="1" s="1"/>
  <c r="AL134" i="1"/>
  <c r="F312" i="2"/>
  <c r="L312" i="2" s="1"/>
  <c r="J652" i="1"/>
  <c r="J78" i="1"/>
  <c r="J114" i="1"/>
  <c r="J113" i="1"/>
  <c r="F10" i="2"/>
  <c r="J92" i="1"/>
  <c r="J95" i="1" s="1"/>
  <c r="I177" i="1"/>
  <c r="AK170" i="1"/>
  <c r="AL170" i="1" s="1"/>
  <c r="F309" i="2"/>
  <c r="L309" i="2" s="1"/>
  <c r="F816" i="2"/>
  <c r="F674" i="2"/>
  <c r="AB573" i="1"/>
  <c r="AK573" i="1" s="1"/>
  <c r="AL573" i="1" s="1"/>
  <c r="AB531" i="1"/>
  <c r="AK531" i="1" s="1"/>
  <c r="AL531" i="1" s="1"/>
  <c r="AB532" i="1"/>
  <c r="AK532" i="1" s="1"/>
  <c r="AL532" i="1" s="1"/>
  <c r="AB664" i="1"/>
  <c r="AK664" i="1" s="1"/>
  <c r="AL664" i="1" s="1"/>
  <c r="AB323" i="1"/>
  <c r="AK323" i="1" s="1"/>
  <c r="AL323" i="1" s="1"/>
  <c r="AB530" i="1"/>
  <c r="AK530" i="1" s="1"/>
  <c r="AL530" i="1" s="1"/>
  <c r="AB324" i="1"/>
  <c r="AB322" i="1"/>
  <c r="AK322" i="1" s="1"/>
  <c r="AL322" i="1" s="1"/>
  <c r="Q652" i="1"/>
  <c r="Q113" i="1"/>
  <c r="Q92" i="1"/>
  <c r="Q95" i="1" s="1"/>
  <c r="Q78" i="1"/>
  <c r="Q114" i="1"/>
  <c r="F19" i="2"/>
  <c r="I186" i="1"/>
  <c r="AK186" i="1" s="1"/>
  <c r="AL186" i="1" s="1"/>
  <c r="AK180" i="1"/>
  <c r="AL180" i="1" s="1"/>
  <c r="S303" i="1"/>
  <c r="S654" i="1" s="1"/>
  <c r="F296" i="2"/>
  <c r="P240" i="1"/>
  <c r="J37" i="2"/>
  <c r="P666" i="1"/>
  <c r="P65" i="1"/>
  <c r="P574" i="1"/>
  <c r="P576" i="1" s="1"/>
  <c r="I666" i="1"/>
  <c r="I574" i="1"/>
  <c r="I576" i="1" s="1"/>
  <c r="I65" i="1"/>
  <c r="AA524" i="1"/>
  <c r="AA591" i="1"/>
  <c r="F615" i="2" s="1"/>
  <c r="J615" i="2" s="1"/>
  <c r="AA527" i="1"/>
  <c r="AA316" i="1"/>
  <c r="AA319" i="1"/>
  <c r="AA109" i="1"/>
  <c r="F96" i="2" s="1"/>
  <c r="L96" i="2" s="1"/>
  <c r="AA587" i="1"/>
  <c r="F495" i="2" s="1"/>
  <c r="AA593" i="1"/>
  <c r="AA585" i="1"/>
  <c r="O315" i="1"/>
  <c r="O521" i="1"/>
  <c r="O312" i="1"/>
  <c r="O520" i="1"/>
  <c r="O522" i="1"/>
  <c r="O523" i="1"/>
  <c r="O525" i="1"/>
  <c r="O529" i="1"/>
  <c r="O321" i="1"/>
  <c r="O663" i="1"/>
  <c r="O526" i="1"/>
  <c r="O313" i="1"/>
  <c r="O314" i="1"/>
  <c r="O318" i="1"/>
  <c r="O528" i="1"/>
  <c r="O320" i="1"/>
  <c r="O317" i="1"/>
  <c r="K563" i="2"/>
  <c r="AK225" i="1"/>
  <c r="AL225" i="1" s="1"/>
  <c r="O275" i="1"/>
  <c r="O277" i="1"/>
  <c r="V277" i="1"/>
  <c r="I661" i="1"/>
  <c r="I243" i="1"/>
  <c r="H574" i="1"/>
  <c r="H576" i="1" s="1"/>
  <c r="H666" i="1"/>
  <c r="H65" i="1"/>
  <c r="W114" i="1"/>
  <c r="W92" i="1"/>
  <c r="W95" i="1" s="1"/>
  <c r="W113" i="1"/>
  <c r="W78" i="1"/>
  <c r="F31" i="2"/>
  <c r="L31" i="2" s="1"/>
  <c r="W652" i="1"/>
  <c r="H140" i="1"/>
  <c r="AB107" i="1"/>
  <c r="AK107" i="1" s="1"/>
  <c r="AL107" i="1" s="1"/>
  <c r="U652" i="1"/>
  <c r="U113" i="1"/>
  <c r="F29" i="2"/>
  <c r="L29" i="2" s="1"/>
  <c r="U92" i="1"/>
  <c r="U95" i="1" s="1"/>
  <c r="U78" i="1"/>
  <c r="U114" i="1"/>
  <c r="H271" i="1"/>
  <c r="AK261" i="1"/>
  <c r="AL261" i="1" s="1"/>
  <c r="AC65" i="1"/>
  <c r="AC574" i="1"/>
  <c r="AC576" i="1" s="1"/>
  <c r="AC666" i="1"/>
  <c r="J526" i="1"/>
  <c r="J314" i="1"/>
  <c r="J521" i="1"/>
  <c r="J313" i="1"/>
  <c r="J525" i="1"/>
  <c r="J315" i="1"/>
  <c r="J321" i="1"/>
  <c r="J312" i="1"/>
  <c r="J520" i="1"/>
  <c r="J529" i="1"/>
  <c r="J523" i="1"/>
  <c r="J663" i="1"/>
  <c r="J528" i="1"/>
  <c r="J320" i="1"/>
  <c r="J522" i="1"/>
  <c r="J317" i="1"/>
  <c r="J318" i="1"/>
  <c r="AH316" i="1"/>
  <c r="AH593" i="1"/>
  <c r="AH591" i="1"/>
  <c r="F631" i="2" s="1"/>
  <c r="K631" i="2" s="1"/>
  <c r="AH527" i="1"/>
  <c r="AH109" i="1"/>
  <c r="F112" i="2" s="1"/>
  <c r="L112" i="2" s="1"/>
  <c r="AH587" i="1"/>
  <c r="F511" i="2" s="1"/>
  <c r="AH319" i="1"/>
  <c r="AH524" i="1"/>
  <c r="AH585" i="1"/>
  <c r="F454" i="2" s="1"/>
  <c r="K454" i="2" s="1"/>
  <c r="AB12" i="1"/>
  <c r="AK12" i="1" s="1"/>
  <c r="X320" i="1"/>
  <c r="X315" i="1"/>
  <c r="X528" i="1"/>
  <c r="X522" i="1"/>
  <c r="X314" i="1"/>
  <c r="X312" i="1"/>
  <c r="X526" i="1"/>
  <c r="X529" i="1"/>
  <c r="X317" i="1"/>
  <c r="X313" i="1"/>
  <c r="X521" i="1"/>
  <c r="X318" i="1"/>
  <c r="X321" i="1"/>
  <c r="X525" i="1"/>
  <c r="X523" i="1"/>
  <c r="X520" i="1"/>
  <c r="X663" i="1"/>
  <c r="V526" i="1"/>
  <c r="V528" i="1"/>
  <c r="V313" i="1"/>
  <c r="V312" i="1"/>
  <c r="V321" i="1"/>
  <c r="V521" i="1"/>
  <c r="V523" i="1"/>
  <c r="V520" i="1"/>
  <c r="V522" i="1"/>
  <c r="V320" i="1"/>
  <c r="V315" i="1"/>
  <c r="V525" i="1"/>
  <c r="V317" i="1"/>
  <c r="V314" i="1"/>
  <c r="V663" i="1"/>
  <c r="V529" i="1"/>
  <c r="V318" i="1"/>
  <c r="K526" i="2"/>
  <c r="K334" i="2"/>
  <c r="K528" i="2"/>
  <c r="K355" i="2"/>
  <c r="K654" i="2"/>
  <c r="K511" i="2"/>
  <c r="K394" i="2"/>
  <c r="K354" i="2"/>
  <c r="K356" i="2"/>
  <c r="K566" i="2"/>
  <c r="K527" i="2"/>
  <c r="K297" i="2"/>
  <c r="K569" i="2"/>
  <c r="K400" i="2"/>
  <c r="K391" i="2"/>
  <c r="K831" i="2"/>
  <c r="K382" i="2"/>
  <c r="K1118" i="2"/>
  <c r="T1176" i="2"/>
  <c r="U1176" i="2" s="1"/>
  <c r="U1152" i="2"/>
  <c r="V1152" i="2" s="1"/>
  <c r="F943" i="2"/>
  <c r="F921" i="2"/>
  <c r="L659" i="2"/>
  <c r="L825" i="2"/>
  <c r="L799" i="2"/>
  <c r="L795" i="2"/>
  <c r="L1103" i="2"/>
  <c r="M1" i="2"/>
  <c r="L662" i="2"/>
  <c r="L663" i="2"/>
  <c r="L1115" i="2"/>
  <c r="L829" i="2"/>
  <c r="L805" i="2"/>
  <c r="L831" i="2" s="1"/>
  <c r="L544" i="2"/>
  <c r="L560" i="2"/>
  <c r="L366" i="2"/>
  <c r="L376" i="2"/>
  <c r="L317" i="2"/>
  <c r="L54" i="2"/>
  <c r="L373" i="2"/>
  <c r="L315" i="2"/>
  <c r="L323" i="2"/>
  <c r="L541" i="2"/>
  <c r="L653" i="2"/>
  <c r="L798" i="2"/>
  <c r="L1100" i="2"/>
  <c r="L654" i="2" s="1"/>
  <c r="L664" i="2"/>
  <c r="L797" i="2"/>
  <c r="L656" i="2"/>
  <c r="L545" i="2"/>
  <c r="L1106" i="2"/>
  <c r="L375" i="2"/>
  <c r="L652" i="2"/>
  <c r="L1072" i="2"/>
  <c r="L552" i="2"/>
  <c r="L546" i="2"/>
  <c r="L1116" i="2"/>
  <c r="L1208" i="2"/>
  <c r="L1025" i="2"/>
  <c r="L1037" i="2" s="1"/>
  <c r="L803" i="2"/>
  <c r="L658" i="2"/>
  <c r="L547" i="2"/>
  <c r="L374" i="2"/>
  <c r="L369" i="2"/>
  <c r="L381" i="2"/>
  <c r="L37" i="2"/>
  <c r="L794" i="2"/>
  <c r="L826" i="2"/>
  <c r="L651" i="2"/>
  <c r="L838" i="2" s="1"/>
  <c r="L666" i="2"/>
  <c r="L806" i="2"/>
  <c r="L1107" i="2"/>
  <c r="L828" i="2"/>
  <c r="L553" i="2"/>
  <c r="L391" i="2"/>
  <c r="L372" i="2"/>
  <c r="L324" i="2"/>
  <c r="L23" i="2"/>
  <c r="L804" i="2"/>
  <c r="L830" i="2" s="1"/>
  <c r="L796" i="2"/>
  <c r="L538" i="2"/>
  <c r="L557" i="2"/>
  <c r="L1117" i="2"/>
  <c r="L385" i="2"/>
  <c r="L665" i="2"/>
  <c r="L667" i="2"/>
  <c r="L548" i="2"/>
  <c r="L380" i="2"/>
  <c r="L38" i="2"/>
  <c r="L95" i="2"/>
  <c r="L657" i="2"/>
  <c r="L319" i="2"/>
  <c r="L388" i="2"/>
  <c r="L1108" i="2"/>
  <c r="L572" i="2" s="1"/>
  <c r="K1037" i="2"/>
  <c r="K554" i="2"/>
  <c r="D33" i="19"/>
  <c r="F33" i="19" s="1"/>
  <c r="K33" i="19" s="1"/>
  <c r="L33" i="19" s="1"/>
  <c r="T1143" i="2"/>
  <c r="U1143" i="2" s="1"/>
  <c r="V1143" i="2" s="1"/>
  <c r="F1008" i="2"/>
  <c r="F982" i="2"/>
  <c r="F1028" i="2"/>
  <c r="F1069" i="2"/>
  <c r="F1075" i="2" s="1"/>
  <c r="T1132" i="2"/>
  <c r="U1132" i="2" s="1"/>
  <c r="V1132" i="2" s="1"/>
  <c r="J553" i="2"/>
  <c r="J319" i="2"/>
  <c r="J381" i="2"/>
  <c r="J376" i="2"/>
  <c r="J548" i="2"/>
  <c r="J324" i="2"/>
  <c r="K377" i="2"/>
  <c r="K549" i="2"/>
  <c r="K866" i="2"/>
  <c r="K880" i="2"/>
  <c r="I37" i="2" l="1"/>
  <c r="I39" i="2" s="1"/>
  <c r="K37" i="2"/>
  <c r="K39" i="2" s="1"/>
  <c r="H37" i="2"/>
  <c r="AL126" i="1"/>
  <c r="I31" i="2"/>
  <c r="J39" i="2"/>
  <c r="L615" i="2"/>
  <c r="L616" i="2" s="1"/>
  <c r="AH534" i="1"/>
  <c r="AH536" i="1" s="1"/>
  <c r="F283" i="2" s="1"/>
  <c r="L283" i="2" s="1"/>
  <c r="Z524" i="1"/>
  <c r="AH326" i="1"/>
  <c r="AH328" i="1" s="1"/>
  <c r="AH330" i="1" s="1"/>
  <c r="AA326" i="1"/>
  <c r="AA328" i="1" s="1"/>
  <c r="F210" i="2" s="1"/>
  <c r="M210" i="2" s="1"/>
  <c r="F57" i="2"/>
  <c r="M57" i="2" s="1"/>
  <c r="AJ652" i="1"/>
  <c r="AJ92" i="1"/>
  <c r="AJ95" i="1" s="1"/>
  <c r="AJ114" i="1"/>
  <c r="AJ78" i="1"/>
  <c r="AJ113" i="1"/>
  <c r="G298" i="2"/>
  <c r="I298" i="2"/>
  <c r="H298" i="2"/>
  <c r="J298" i="2"/>
  <c r="L277" i="1"/>
  <c r="L303" i="1" s="1"/>
  <c r="L654" i="1" s="1"/>
  <c r="L275" i="1"/>
  <c r="AK240" i="1"/>
  <c r="AL240" i="1" s="1"/>
  <c r="L92" i="1"/>
  <c r="L95" i="1" s="1"/>
  <c r="L652" i="1"/>
  <c r="L114" i="1"/>
  <c r="L78" i="1"/>
  <c r="F12" i="2"/>
  <c r="L12" i="2" s="1"/>
  <c r="L113" i="1"/>
  <c r="K298" i="2"/>
  <c r="G39" i="2"/>
  <c r="M114" i="1"/>
  <c r="M652" i="1"/>
  <c r="M92" i="1"/>
  <c r="M95" i="1" s="1"/>
  <c r="F13" i="2"/>
  <c r="L13" i="2" s="1"/>
  <c r="M78" i="1"/>
  <c r="M113" i="1"/>
  <c r="K78" i="1"/>
  <c r="K652" i="1"/>
  <c r="K92" i="1"/>
  <c r="K95" i="1" s="1"/>
  <c r="F11" i="2"/>
  <c r="K114" i="1"/>
  <c r="K113" i="1"/>
  <c r="Z595" i="1"/>
  <c r="W275" i="1"/>
  <c r="W277" i="1"/>
  <c r="W303" i="1" s="1"/>
  <c r="W654" i="1" s="1"/>
  <c r="G297" i="2"/>
  <c r="I297" i="2"/>
  <c r="J297" i="2"/>
  <c r="H297" i="2"/>
  <c r="Z326" i="1"/>
  <c r="Z328" i="1" s="1"/>
  <c r="Z330" i="1" s="1"/>
  <c r="G299" i="2"/>
  <c r="I299" i="2"/>
  <c r="H299" i="2"/>
  <c r="J299" i="2"/>
  <c r="AH121" i="1"/>
  <c r="F295" i="2"/>
  <c r="F331" i="2"/>
  <c r="M331" i="2" s="1"/>
  <c r="F226" i="2"/>
  <c r="L226" i="2" s="1"/>
  <c r="I256" i="1"/>
  <c r="F304" i="2"/>
  <c r="F306" i="2" s="1"/>
  <c r="I495" i="2"/>
  <c r="G495" i="2"/>
  <c r="H495" i="2"/>
  <c r="K495" i="2"/>
  <c r="G312" i="2"/>
  <c r="H312" i="2"/>
  <c r="I312" i="2"/>
  <c r="J312" i="2"/>
  <c r="K312" i="2"/>
  <c r="G343" i="2"/>
  <c r="I343" i="2"/>
  <c r="J343" i="2"/>
  <c r="H343" i="2"/>
  <c r="F294" i="2"/>
  <c r="H210" i="1"/>
  <c r="AK167" i="1"/>
  <c r="AL167" i="1" s="1"/>
  <c r="G33" i="2"/>
  <c r="H33" i="2"/>
  <c r="J33" i="2"/>
  <c r="I33" i="2"/>
  <c r="K33" i="2"/>
  <c r="F209" i="2"/>
  <c r="M209" i="2" s="1"/>
  <c r="AB457" i="1"/>
  <c r="AK445" i="1"/>
  <c r="AL445" i="1" s="1"/>
  <c r="F316" i="2"/>
  <c r="M316" i="2" s="1"/>
  <c r="G48" i="2"/>
  <c r="H48" i="2"/>
  <c r="I48" i="2"/>
  <c r="J48" i="2"/>
  <c r="K48" i="2"/>
  <c r="X113" i="1"/>
  <c r="X652" i="1"/>
  <c r="X78" i="1"/>
  <c r="F32" i="2"/>
  <c r="M32" i="2" s="1"/>
  <c r="X114" i="1"/>
  <c r="X92" i="1"/>
  <c r="X95" i="1" s="1"/>
  <c r="AF319" i="1"/>
  <c r="AF524" i="1"/>
  <c r="AF585" i="1"/>
  <c r="AF587" i="1"/>
  <c r="F508" i="2" s="1"/>
  <c r="L508" i="2" s="1"/>
  <c r="AF591" i="1"/>
  <c r="F628" i="2" s="1"/>
  <c r="L628" i="2" s="1"/>
  <c r="AF316" i="1"/>
  <c r="AF527" i="1"/>
  <c r="AF593" i="1"/>
  <c r="AF109" i="1"/>
  <c r="F109" i="2" s="1"/>
  <c r="M109" i="2" s="1"/>
  <c r="AC92" i="1"/>
  <c r="AC95" i="1" s="1"/>
  <c r="AC652" i="1"/>
  <c r="F45" i="2"/>
  <c r="AC78" i="1"/>
  <c r="AC113" i="1"/>
  <c r="AC114" i="1"/>
  <c r="J495" i="2"/>
  <c r="U593" i="1"/>
  <c r="U316" i="1"/>
  <c r="U585" i="1"/>
  <c r="U524" i="1"/>
  <c r="U109" i="1"/>
  <c r="F87" i="2" s="1"/>
  <c r="M87" i="2" s="1"/>
  <c r="U527" i="1"/>
  <c r="U591" i="1"/>
  <c r="F606" i="2" s="1"/>
  <c r="M606" i="2" s="1"/>
  <c r="U319" i="1"/>
  <c r="U587" i="1"/>
  <c r="F486" i="2" s="1"/>
  <c r="M486" i="2" s="1"/>
  <c r="F34" i="2"/>
  <c r="G31" i="2"/>
  <c r="H31" i="2"/>
  <c r="J31" i="2"/>
  <c r="K31" i="2"/>
  <c r="G96" i="2"/>
  <c r="H96" i="2"/>
  <c r="J96" i="2"/>
  <c r="I96" i="2"/>
  <c r="K96" i="2"/>
  <c r="I615" i="2"/>
  <c r="H615" i="2"/>
  <c r="G615" i="2"/>
  <c r="K615" i="2"/>
  <c r="G309" i="2"/>
  <c r="I309" i="2"/>
  <c r="H309" i="2"/>
  <c r="J309" i="2"/>
  <c r="K309" i="2"/>
  <c r="J319" i="1"/>
  <c r="J316" i="1"/>
  <c r="J591" i="1"/>
  <c r="F587" i="2" s="1"/>
  <c r="J524" i="1"/>
  <c r="J587" i="1"/>
  <c r="F467" i="2" s="1"/>
  <c r="J585" i="1"/>
  <c r="J527" i="1"/>
  <c r="J109" i="1"/>
  <c r="F68" i="2" s="1"/>
  <c r="J593" i="1"/>
  <c r="G337" i="2"/>
  <c r="H337" i="2"/>
  <c r="I337" i="2"/>
  <c r="J337" i="2"/>
  <c r="T591" i="1"/>
  <c r="F603" i="2" s="1"/>
  <c r="M603" i="2" s="1"/>
  <c r="T527" i="1"/>
  <c r="T587" i="1"/>
  <c r="F483" i="2" s="1"/>
  <c r="T593" i="1"/>
  <c r="T585" i="1"/>
  <c r="T109" i="1"/>
  <c r="F84" i="2" s="1"/>
  <c r="M84" i="2" s="1"/>
  <c r="T316" i="1"/>
  <c r="T524" i="1"/>
  <c r="T319" i="1"/>
  <c r="F496" i="2"/>
  <c r="G494" i="2"/>
  <c r="H494" i="2"/>
  <c r="I494" i="2"/>
  <c r="J494" i="2"/>
  <c r="K494" i="2"/>
  <c r="K496" i="2" s="1"/>
  <c r="I511" i="1"/>
  <c r="G30" i="2"/>
  <c r="H30" i="2"/>
  <c r="I30" i="2"/>
  <c r="J30" i="2"/>
  <c r="K30" i="2"/>
  <c r="I317" i="2"/>
  <c r="H317" i="2"/>
  <c r="G317" i="2"/>
  <c r="K317" i="2"/>
  <c r="J317" i="2"/>
  <c r="AH595" i="1"/>
  <c r="AH597" i="1" s="1"/>
  <c r="I319" i="2"/>
  <c r="H319" i="2"/>
  <c r="G319" i="2"/>
  <c r="K319" i="2"/>
  <c r="G112" i="2"/>
  <c r="H112" i="2"/>
  <c r="J112" i="2"/>
  <c r="I112" i="2"/>
  <c r="K112" i="2"/>
  <c r="W319" i="1"/>
  <c r="W109" i="1"/>
  <c r="F89" i="2" s="1"/>
  <c r="W527" i="1"/>
  <c r="W316" i="1"/>
  <c r="W591" i="1"/>
  <c r="F608" i="2" s="1"/>
  <c r="M608" i="2" s="1"/>
  <c r="W585" i="1"/>
  <c r="W587" i="1"/>
  <c r="F488" i="2" s="1"/>
  <c r="M488" i="2" s="1"/>
  <c r="W593" i="1"/>
  <c r="W524" i="1"/>
  <c r="H78" i="1"/>
  <c r="H652" i="1"/>
  <c r="H114" i="1"/>
  <c r="F8" i="2"/>
  <c r="H113" i="1"/>
  <c r="H92" i="1"/>
  <c r="O303" i="1"/>
  <c r="O654" i="1" s="1"/>
  <c r="Q585" i="1"/>
  <c r="Q593" i="1"/>
  <c r="Q591" i="1"/>
  <c r="F596" i="2" s="1"/>
  <c r="Q316" i="1"/>
  <c r="Q109" i="1"/>
  <c r="F77" i="2" s="1"/>
  <c r="Q524" i="1"/>
  <c r="Q319" i="1"/>
  <c r="Q587" i="1"/>
  <c r="F476" i="2" s="1"/>
  <c r="Q527" i="1"/>
  <c r="L33" i="2"/>
  <c r="AB574" i="1"/>
  <c r="AK574" i="1" s="1"/>
  <c r="AL574" i="1" s="1"/>
  <c r="AB65" i="1"/>
  <c r="AB666" i="1"/>
  <c r="AK666" i="1" s="1"/>
  <c r="AL666" i="1" s="1"/>
  <c r="H631" i="2"/>
  <c r="I631" i="2"/>
  <c r="G631" i="2"/>
  <c r="J631" i="2"/>
  <c r="AK271" i="1"/>
  <c r="AL271" i="1" s="1"/>
  <c r="H273" i="1"/>
  <c r="G29" i="2"/>
  <c r="H29" i="2"/>
  <c r="I29" i="2"/>
  <c r="J29" i="2"/>
  <c r="K29" i="2"/>
  <c r="V303" i="1"/>
  <c r="V654" i="1" s="1"/>
  <c r="F438" i="2"/>
  <c r="F439" i="2" s="1"/>
  <c r="AA595" i="1"/>
  <c r="AA534" i="1"/>
  <c r="AA536" i="1" s="1"/>
  <c r="O524" i="1"/>
  <c r="O593" i="1"/>
  <c r="O319" i="1"/>
  <c r="O316" i="1"/>
  <c r="O527" i="1"/>
  <c r="O585" i="1"/>
  <c r="O109" i="1"/>
  <c r="F75" i="2" s="1"/>
  <c r="O591" i="1"/>
  <c r="F594" i="2" s="1"/>
  <c r="O587" i="1"/>
  <c r="F474" i="2" s="1"/>
  <c r="F325" i="2"/>
  <c r="G323" i="2"/>
  <c r="G325" i="2" s="1"/>
  <c r="H323" i="2"/>
  <c r="H325" i="2" s="1"/>
  <c r="I323" i="2"/>
  <c r="I325" i="2" s="1"/>
  <c r="J323" i="2"/>
  <c r="J325" i="2" s="1"/>
  <c r="K323" i="2"/>
  <c r="K325" i="2" s="1"/>
  <c r="H39" i="2"/>
  <c r="Y524" i="1"/>
  <c r="Y316" i="1"/>
  <c r="Y593" i="1"/>
  <c r="Y319" i="1"/>
  <c r="Y587" i="1"/>
  <c r="F490" i="2" s="1"/>
  <c r="M490" i="2" s="1"/>
  <c r="Y527" i="1"/>
  <c r="Y585" i="1"/>
  <c r="Y591" i="1"/>
  <c r="F610" i="2" s="1"/>
  <c r="M610" i="2" s="1"/>
  <c r="Y109" i="1"/>
  <c r="F91" i="2" s="1"/>
  <c r="M91" i="2" s="1"/>
  <c r="G437" i="2"/>
  <c r="I437" i="2"/>
  <c r="H437" i="2"/>
  <c r="J437" i="2"/>
  <c r="K437" i="2"/>
  <c r="F97" i="2"/>
  <c r="G95" i="2"/>
  <c r="G97" i="2" s="1"/>
  <c r="H95" i="2"/>
  <c r="I95" i="2"/>
  <c r="J95" i="2"/>
  <c r="K95" i="2"/>
  <c r="K97" i="2" s="1"/>
  <c r="V587" i="1"/>
  <c r="F487" i="2" s="1"/>
  <c r="M487" i="2" s="1"/>
  <c r="V524" i="1"/>
  <c r="V593" i="1"/>
  <c r="V591" i="1"/>
  <c r="F607" i="2" s="1"/>
  <c r="M607" i="2" s="1"/>
  <c r="V319" i="1"/>
  <c r="V109" i="1"/>
  <c r="F88" i="2" s="1"/>
  <c r="M88" i="2" s="1"/>
  <c r="V316" i="1"/>
  <c r="V527" i="1"/>
  <c r="V585" i="1"/>
  <c r="F430" i="2" s="1"/>
  <c r="M430" i="2" s="1"/>
  <c r="P511" i="1"/>
  <c r="H340" i="2"/>
  <c r="I340" i="2"/>
  <c r="G340" i="2"/>
  <c r="J340" i="2"/>
  <c r="K343" i="2"/>
  <c r="L495" i="2"/>
  <c r="L496" i="2" s="1"/>
  <c r="H454" i="2"/>
  <c r="G454" i="2"/>
  <c r="I454" i="2"/>
  <c r="J454" i="2"/>
  <c r="I511" i="2"/>
  <c r="H511" i="2"/>
  <c r="G511" i="2"/>
  <c r="J511" i="2"/>
  <c r="AK65" i="1"/>
  <c r="AL65" i="1" s="1"/>
  <c r="AL12" i="1"/>
  <c r="F9" i="2"/>
  <c r="F1189" i="2" s="1"/>
  <c r="I113" i="1"/>
  <c r="I78" i="1"/>
  <c r="I92" i="1"/>
  <c r="I95" i="1" s="1"/>
  <c r="I652" i="1"/>
  <c r="I114" i="1"/>
  <c r="P78" i="1"/>
  <c r="P92" i="1"/>
  <c r="P95" i="1" s="1"/>
  <c r="P114" i="1"/>
  <c r="P652" i="1"/>
  <c r="F18" i="2"/>
  <c r="F20" i="2" s="1"/>
  <c r="P113" i="1"/>
  <c r="P277" i="1"/>
  <c r="P275" i="1"/>
  <c r="F318" i="2"/>
  <c r="I188" i="1"/>
  <c r="AK177" i="1"/>
  <c r="AL177" i="1" s="1"/>
  <c r="G315" i="2"/>
  <c r="I315" i="2"/>
  <c r="H315" i="2"/>
  <c r="J315" i="2"/>
  <c r="K315" i="2"/>
  <c r="G26" i="2"/>
  <c r="H26" i="2"/>
  <c r="I26" i="2"/>
  <c r="J26" i="2"/>
  <c r="K26" i="2"/>
  <c r="AK156" i="1"/>
  <c r="AL156" i="1" s="1"/>
  <c r="AL149" i="1"/>
  <c r="S593" i="1"/>
  <c r="S319" i="1"/>
  <c r="S591" i="1"/>
  <c r="F600" i="2" s="1"/>
  <c r="M600" i="2" s="1"/>
  <c r="S527" i="1"/>
  <c r="S109" i="1"/>
  <c r="F81" i="2" s="1"/>
  <c r="M81" i="2" s="1"/>
  <c r="S524" i="1"/>
  <c r="S587" i="1"/>
  <c r="F480" i="2" s="1"/>
  <c r="M480" i="2" s="1"/>
  <c r="S585" i="1"/>
  <c r="S316" i="1"/>
  <c r="G23" i="2"/>
  <c r="H23" i="2"/>
  <c r="I23" i="2"/>
  <c r="J23" i="2"/>
  <c r="K23" i="2"/>
  <c r="Z534" i="1"/>
  <c r="Z536" i="1" s="1"/>
  <c r="F616" i="2"/>
  <c r="G614" i="2"/>
  <c r="I614" i="2"/>
  <c r="H614" i="2"/>
  <c r="J614" i="2"/>
  <c r="J616" i="2" s="1"/>
  <c r="K614" i="2"/>
  <c r="AD593" i="1"/>
  <c r="AD527" i="1"/>
  <c r="AD591" i="1"/>
  <c r="F625" i="2" s="1"/>
  <c r="L625" i="2" s="1"/>
  <c r="AD109" i="1"/>
  <c r="F106" i="2" s="1"/>
  <c r="M106" i="2" s="1"/>
  <c r="AD585" i="1"/>
  <c r="AD319" i="1"/>
  <c r="AD316" i="1"/>
  <c r="AD524" i="1"/>
  <c r="AD587" i="1"/>
  <c r="F505" i="2" s="1"/>
  <c r="AK421" i="1"/>
  <c r="AL421" i="1" s="1"/>
  <c r="H485" i="1"/>
  <c r="G51" i="2"/>
  <c r="H51" i="2"/>
  <c r="I51" i="2"/>
  <c r="J51" i="2"/>
  <c r="K51" i="2"/>
  <c r="AK140" i="1"/>
  <c r="AL140" i="1" s="1"/>
  <c r="AL128" i="1"/>
  <c r="H334" i="2"/>
  <c r="I334" i="2"/>
  <c r="G334" i="2"/>
  <c r="J334" i="2"/>
  <c r="L299" i="2"/>
  <c r="L354" i="2"/>
  <c r="L297" i="2"/>
  <c r="L526" i="2"/>
  <c r="L11" i="2"/>
  <c r="L298" i="2"/>
  <c r="L356" i="2"/>
  <c r="L528" i="2"/>
  <c r="L382" i="2"/>
  <c r="L400" i="2"/>
  <c r="L569" i="2"/>
  <c r="L394" i="2"/>
  <c r="L566" i="2"/>
  <c r="L397" i="2"/>
  <c r="L334" i="2"/>
  <c r="L337" i="2"/>
  <c r="L343" i="2"/>
  <c r="L563" i="2"/>
  <c r="L454" i="2"/>
  <c r="L511" i="2"/>
  <c r="L97" i="2"/>
  <c r="L340" i="2"/>
  <c r="L631" i="2"/>
  <c r="L377" i="2"/>
  <c r="L527" i="2"/>
  <c r="J549" i="2"/>
  <c r="L549" i="2"/>
  <c r="J377" i="2"/>
  <c r="J496" i="2"/>
  <c r="L39" i="2"/>
  <c r="L554" i="2"/>
  <c r="L355" i="2"/>
  <c r="J554" i="2"/>
  <c r="J382" i="2"/>
  <c r="L866" i="2"/>
  <c r="L880" i="2"/>
  <c r="L1084" i="2"/>
  <c r="L325" i="2"/>
  <c r="M1115" i="2"/>
  <c r="M1025" i="2"/>
  <c r="M656" i="2"/>
  <c r="M557" i="2"/>
  <c r="M651" i="2"/>
  <c r="M838" i="2" s="1"/>
  <c r="M795" i="2"/>
  <c r="M1208" i="2"/>
  <c r="M797" i="2"/>
  <c r="N1" i="2"/>
  <c r="M799" i="2"/>
  <c r="M547" i="2"/>
  <c r="M1106" i="2"/>
  <c r="M334" i="2" s="1"/>
  <c r="M369" i="2"/>
  <c r="M31" i="2"/>
  <c r="M324" i="2"/>
  <c r="M312" i="2"/>
  <c r="M29" i="2"/>
  <c r="M614" i="2"/>
  <c r="M323" i="2"/>
  <c r="M37" i="2"/>
  <c r="M96" i="2"/>
  <c r="M1117" i="2"/>
  <c r="M662" i="2"/>
  <c r="M663" i="2"/>
  <c r="M1103" i="2"/>
  <c r="M803" i="2"/>
  <c r="M652" i="2"/>
  <c r="M664" i="2"/>
  <c r="M805" i="2"/>
  <c r="M831" i="2" s="1"/>
  <c r="M374" i="2"/>
  <c r="M385" i="2"/>
  <c r="M381" i="2"/>
  <c r="M495" i="2"/>
  <c r="M483" i="2"/>
  <c r="M373" i="2"/>
  <c r="M798" i="2"/>
  <c r="M553" i="2"/>
  <c r="M666" i="2"/>
  <c r="M794" i="2"/>
  <c r="M806" i="2"/>
  <c r="M1116" i="2"/>
  <c r="M560" i="2"/>
  <c r="M825" i="2"/>
  <c r="M1107" i="2"/>
  <c r="M538" i="2"/>
  <c r="M1108" i="2"/>
  <c r="M653" i="2"/>
  <c r="M657" i="2"/>
  <c r="M1072" i="2"/>
  <c r="M1084" i="2" s="1"/>
  <c r="M546" i="2"/>
  <c r="M665" i="2"/>
  <c r="M829" i="2"/>
  <c r="M826" i="2"/>
  <c r="D32" i="21" s="1"/>
  <c r="E32" i="21" s="1"/>
  <c r="K32" i="21" s="1"/>
  <c r="L32" i="21" s="1"/>
  <c r="M828" i="2"/>
  <c r="M548" i="2"/>
  <c r="M372" i="2"/>
  <c r="M45" i="2"/>
  <c r="M26" i="2"/>
  <c r="M318" i="2"/>
  <c r="M54" i="2"/>
  <c r="M615" i="2"/>
  <c r="M804" i="2"/>
  <c r="M830" i="2" s="1"/>
  <c r="M544" i="2"/>
  <c r="M366" i="2"/>
  <c r="M375" i="2"/>
  <c r="M112" i="2"/>
  <c r="M315" i="2"/>
  <c r="M23" i="2"/>
  <c r="M30" i="2"/>
  <c r="M667" i="2"/>
  <c r="M545" i="2"/>
  <c r="M388" i="2"/>
  <c r="M376" i="2"/>
  <c r="M48" i="2"/>
  <c r="M38" i="2"/>
  <c r="M796" i="2"/>
  <c r="M1100" i="2"/>
  <c r="M541" i="2"/>
  <c r="M380" i="2"/>
  <c r="M89" i="2"/>
  <c r="M309" i="2"/>
  <c r="M494" i="2"/>
  <c r="M33" i="2"/>
  <c r="M95" i="2"/>
  <c r="M437" i="2"/>
  <c r="M658" i="2"/>
  <c r="M51" i="2"/>
  <c r="M319" i="2"/>
  <c r="M659" i="2"/>
  <c r="M552" i="2"/>
  <c r="M317" i="2"/>
  <c r="D33" i="20"/>
  <c r="F33" i="20" s="1"/>
  <c r="K33" i="20" s="1"/>
  <c r="L33" i="20" s="1"/>
  <c r="D32" i="20"/>
  <c r="E32" i="20" s="1"/>
  <c r="K32" i="20" s="1"/>
  <c r="L32" i="20" s="1"/>
  <c r="L1118" i="2"/>
  <c r="AA330" i="1" l="1"/>
  <c r="AH538" i="1"/>
  <c r="AH653" i="1"/>
  <c r="I97" i="2"/>
  <c r="I496" i="2"/>
  <c r="J97" i="2"/>
  <c r="AA597" i="1"/>
  <c r="M438" i="2"/>
  <c r="I616" i="2"/>
  <c r="U534" i="1"/>
  <c r="U536" i="1" s="1"/>
  <c r="U121" i="1" s="1"/>
  <c r="U326" i="1"/>
  <c r="U328" i="1" s="1"/>
  <c r="U330" i="1" s="1"/>
  <c r="M496" i="2"/>
  <c r="H496" i="2"/>
  <c r="V326" i="1"/>
  <c r="V328" i="1" s="1"/>
  <c r="F202" i="2" s="1"/>
  <c r="N202" i="2" s="1"/>
  <c r="F300" i="2"/>
  <c r="K57" i="2"/>
  <c r="G57" i="2"/>
  <c r="L57" i="2"/>
  <c r="I57" i="2"/>
  <c r="H57" i="2"/>
  <c r="J57" i="2"/>
  <c r="M283" i="2"/>
  <c r="Y534" i="1"/>
  <c r="Y536" i="1" s="1"/>
  <c r="Y653" i="1" s="1"/>
  <c r="AJ524" i="1"/>
  <c r="AJ109" i="1"/>
  <c r="F115" i="2" s="1"/>
  <c r="AJ593" i="1"/>
  <c r="AJ316" i="1"/>
  <c r="AJ319" i="1"/>
  <c r="AJ587" i="1"/>
  <c r="F514" i="2" s="1"/>
  <c r="AJ585" i="1"/>
  <c r="AJ527" i="1"/>
  <c r="AJ591" i="1"/>
  <c r="F634" i="2" s="1"/>
  <c r="G12" i="2"/>
  <c r="I12" i="2"/>
  <c r="H12" i="2"/>
  <c r="J12" i="2"/>
  <c r="K12" i="2"/>
  <c r="L109" i="1"/>
  <c r="F70" i="2" s="1"/>
  <c r="M70" i="2" s="1"/>
  <c r="L527" i="1"/>
  <c r="L316" i="1"/>
  <c r="L524" i="1"/>
  <c r="L591" i="1"/>
  <c r="F589" i="2" s="1"/>
  <c r="L587" i="1"/>
  <c r="F469" i="2" s="1"/>
  <c r="M469" i="2" s="1"/>
  <c r="L319" i="1"/>
  <c r="L585" i="1"/>
  <c r="L593" i="1"/>
  <c r="T534" i="1"/>
  <c r="T536" i="1" s="1"/>
  <c r="F255" i="2" s="1"/>
  <c r="N255" i="2" s="1"/>
  <c r="J326" i="1"/>
  <c r="J328" i="1" s="1"/>
  <c r="J330" i="1" s="1"/>
  <c r="Z597" i="1"/>
  <c r="T326" i="1"/>
  <c r="T328" i="1" s="1"/>
  <c r="F198" i="2" s="1"/>
  <c r="N198" i="2" s="1"/>
  <c r="S326" i="1"/>
  <c r="S328" i="1" s="1"/>
  <c r="F195" i="2" s="1"/>
  <c r="N195" i="2" s="1"/>
  <c r="AF326" i="1"/>
  <c r="AF328" i="1" s="1"/>
  <c r="F223" i="2" s="1"/>
  <c r="M223" i="2" s="1"/>
  <c r="AF534" i="1"/>
  <c r="AF536" i="1" s="1"/>
  <c r="AF653" i="1" s="1"/>
  <c r="O534" i="1"/>
  <c r="O536" i="1" s="1"/>
  <c r="O538" i="1" s="1"/>
  <c r="M591" i="1"/>
  <c r="F590" i="2" s="1"/>
  <c r="M590" i="2" s="1"/>
  <c r="M585" i="1"/>
  <c r="M524" i="1"/>
  <c r="M319" i="1"/>
  <c r="M593" i="1"/>
  <c r="M109" i="1"/>
  <c r="F71" i="2" s="1"/>
  <c r="M316" i="1"/>
  <c r="M527" i="1"/>
  <c r="M587" i="1"/>
  <c r="F470" i="2" s="1"/>
  <c r="M470" i="2" s="1"/>
  <c r="Y326" i="1"/>
  <c r="Y328" i="1" s="1"/>
  <c r="F205" i="2" s="1"/>
  <c r="N205" i="2" s="1"/>
  <c r="Q326" i="1"/>
  <c r="Q328" i="1" s="1"/>
  <c r="Q330" i="1" s="1"/>
  <c r="W326" i="1"/>
  <c r="W328" i="1" s="1"/>
  <c r="F203" i="2" s="1"/>
  <c r="N203" i="2" s="1"/>
  <c r="K527" i="1"/>
  <c r="K109" i="1"/>
  <c r="F69" i="2" s="1"/>
  <c r="M69" i="2" s="1"/>
  <c r="K316" i="1"/>
  <c r="K587" i="1"/>
  <c r="F468" i="2" s="1"/>
  <c r="M468" i="2" s="1"/>
  <c r="K524" i="1"/>
  <c r="K534" i="1" s="1"/>
  <c r="K536" i="1" s="1"/>
  <c r="K585" i="1"/>
  <c r="K593" i="1"/>
  <c r="K591" i="1"/>
  <c r="F588" i="2" s="1"/>
  <c r="M588" i="2" s="1"/>
  <c r="K319" i="1"/>
  <c r="G13" i="2"/>
  <c r="I13" i="2"/>
  <c r="H13" i="2"/>
  <c r="J13" i="2"/>
  <c r="K13" i="2"/>
  <c r="AB576" i="1"/>
  <c r="AK576" i="1" s="1"/>
  <c r="AL576" i="1" s="1"/>
  <c r="O326" i="1"/>
  <c r="O328" i="1" s="1"/>
  <c r="F189" i="2" s="1"/>
  <c r="Q534" i="1"/>
  <c r="Q536" i="1" s="1"/>
  <c r="Q653" i="1" s="1"/>
  <c r="J534" i="1"/>
  <c r="J536" i="1" s="1"/>
  <c r="J538" i="1" s="1"/>
  <c r="K616" i="2"/>
  <c r="V534" i="1"/>
  <c r="V536" i="1" s="1"/>
  <c r="V121" i="1" s="1"/>
  <c r="W534" i="1"/>
  <c r="W536" i="1" s="1"/>
  <c r="F260" i="2" s="1"/>
  <c r="N260" i="2" s="1"/>
  <c r="G11" i="2"/>
  <c r="I11" i="2"/>
  <c r="H11" i="2"/>
  <c r="J11" i="2"/>
  <c r="K11" i="2"/>
  <c r="V330" i="1"/>
  <c r="F266" i="2"/>
  <c r="Z653" i="1"/>
  <c r="Z121" i="1"/>
  <c r="Z538" i="1"/>
  <c r="F423" i="2"/>
  <c r="N423" i="2" s="1"/>
  <c r="S595" i="1"/>
  <c r="P585" i="1"/>
  <c r="P109" i="1"/>
  <c r="F76" i="2" s="1"/>
  <c r="F78" i="2" s="1"/>
  <c r="P316" i="1"/>
  <c r="P319" i="1"/>
  <c r="P524" i="1"/>
  <c r="P593" i="1"/>
  <c r="P587" i="1"/>
  <c r="F475" i="2" s="1"/>
  <c r="F477" i="2" s="1"/>
  <c r="P527" i="1"/>
  <c r="P591" i="1"/>
  <c r="F595" i="2" s="1"/>
  <c r="F597" i="2" s="1"/>
  <c r="I316" i="1"/>
  <c r="I319" i="1"/>
  <c r="I524" i="1"/>
  <c r="I591" i="1"/>
  <c r="F586" i="2" s="1"/>
  <c r="I587" i="1"/>
  <c r="F466" i="2" s="1"/>
  <c r="I527" i="1"/>
  <c r="I109" i="1"/>
  <c r="F67" i="2" s="1"/>
  <c r="I585" i="1"/>
  <c r="I593" i="1"/>
  <c r="G88" i="2"/>
  <c r="I88" i="2"/>
  <c r="H88" i="2"/>
  <c r="J88" i="2"/>
  <c r="K88" i="2"/>
  <c r="L88" i="2"/>
  <c r="I610" i="2"/>
  <c r="H610" i="2"/>
  <c r="G610" i="2"/>
  <c r="K610" i="2"/>
  <c r="J610" i="2"/>
  <c r="L610" i="2"/>
  <c r="I438" i="2"/>
  <c r="I439" i="2" s="1"/>
  <c r="G438" i="2"/>
  <c r="G439" i="2" s="1"/>
  <c r="H438" i="2"/>
  <c r="H439" i="2" s="1"/>
  <c r="K438" i="2"/>
  <c r="K439" i="2" s="1"/>
  <c r="L438" i="2"/>
  <c r="L439" i="2" s="1"/>
  <c r="J438" i="2"/>
  <c r="J439" i="2" s="1"/>
  <c r="F182" i="2"/>
  <c r="F419" i="2"/>
  <c r="Q595" i="1"/>
  <c r="I488" i="2"/>
  <c r="H488" i="2"/>
  <c r="G488" i="2"/>
  <c r="J488" i="2"/>
  <c r="K488" i="2"/>
  <c r="L488" i="2"/>
  <c r="F410" i="2"/>
  <c r="J595" i="1"/>
  <c r="H97" i="2"/>
  <c r="G606" i="2"/>
  <c r="H606" i="2"/>
  <c r="I606" i="2"/>
  <c r="J606" i="2"/>
  <c r="K606" i="2"/>
  <c r="L606" i="2"/>
  <c r="F429" i="2"/>
  <c r="N429" i="2" s="1"/>
  <c r="U595" i="1"/>
  <c r="AC593" i="1"/>
  <c r="AC527" i="1"/>
  <c r="AC109" i="1"/>
  <c r="F103" i="2" s="1"/>
  <c r="N103" i="2" s="1"/>
  <c r="AC524" i="1"/>
  <c r="AC587" i="1"/>
  <c r="F502" i="2" s="1"/>
  <c r="AC319" i="1"/>
  <c r="AC585" i="1"/>
  <c r="AC316" i="1"/>
  <c r="AC591" i="1"/>
  <c r="F622" i="2" s="1"/>
  <c r="F451" i="2"/>
  <c r="M451" i="2" s="1"/>
  <c r="AF595" i="1"/>
  <c r="I273" i="1"/>
  <c r="I275" i="1" s="1"/>
  <c r="G505" i="2"/>
  <c r="H505" i="2"/>
  <c r="I505" i="2"/>
  <c r="J505" i="2"/>
  <c r="K505" i="2"/>
  <c r="L505" i="2"/>
  <c r="F448" i="2"/>
  <c r="M448" i="2" s="1"/>
  <c r="AD595" i="1"/>
  <c r="G480" i="2"/>
  <c r="H480" i="2"/>
  <c r="I480" i="2"/>
  <c r="J480" i="2"/>
  <c r="K480" i="2"/>
  <c r="L480" i="2"/>
  <c r="G600" i="2"/>
  <c r="I600" i="2"/>
  <c r="H600" i="2"/>
  <c r="J600" i="2"/>
  <c r="K600" i="2"/>
  <c r="L600" i="2"/>
  <c r="G318" i="2"/>
  <c r="I318" i="2"/>
  <c r="H318" i="2"/>
  <c r="J318" i="2"/>
  <c r="K318" i="2"/>
  <c r="L318" i="2"/>
  <c r="AA112" i="1"/>
  <c r="AA116" i="1" s="1"/>
  <c r="AA144" i="1" s="1"/>
  <c r="F153" i="2" s="1"/>
  <c r="N153" i="2" s="1"/>
  <c r="AA651" i="1"/>
  <c r="G430" i="2"/>
  <c r="H430" i="2"/>
  <c r="I430" i="2"/>
  <c r="J430" i="2"/>
  <c r="K430" i="2"/>
  <c r="L430" i="2"/>
  <c r="G487" i="2"/>
  <c r="H487" i="2"/>
  <c r="I487" i="2"/>
  <c r="J487" i="2"/>
  <c r="K487" i="2"/>
  <c r="L487" i="2"/>
  <c r="F433" i="2"/>
  <c r="N433" i="2" s="1"/>
  <c r="Y595" i="1"/>
  <c r="F14" i="2"/>
  <c r="F431" i="2"/>
  <c r="N431" i="2" s="1"/>
  <c r="W595" i="1"/>
  <c r="G89" i="2"/>
  <c r="H89" i="2"/>
  <c r="J89" i="2"/>
  <c r="K89" i="2"/>
  <c r="L89" i="2"/>
  <c r="I89" i="2"/>
  <c r="I320" i="1"/>
  <c r="I525" i="1"/>
  <c r="I521" i="1"/>
  <c r="I317" i="1"/>
  <c r="I520" i="1"/>
  <c r="I663" i="1"/>
  <c r="I522" i="1"/>
  <c r="I313" i="1"/>
  <c r="I529" i="1"/>
  <c r="I526" i="1"/>
  <c r="I318" i="1"/>
  <c r="I314" i="1"/>
  <c r="I315" i="1"/>
  <c r="I321" i="1"/>
  <c r="I523" i="1"/>
  <c r="I312" i="1"/>
  <c r="I528" i="1"/>
  <c r="G483" i="2"/>
  <c r="H483" i="2"/>
  <c r="I483" i="2"/>
  <c r="J483" i="2"/>
  <c r="K483" i="2"/>
  <c r="L483" i="2"/>
  <c r="G109" i="2"/>
  <c r="H109" i="2"/>
  <c r="I109" i="2"/>
  <c r="J109" i="2"/>
  <c r="K109" i="2"/>
  <c r="L109" i="2"/>
  <c r="AF538" i="1"/>
  <c r="G32" i="2"/>
  <c r="G34" i="2" s="1"/>
  <c r="I32" i="2"/>
  <c r="I34" i="2" s="1"/>
  <c r="H32" i="2"/>
  <c r="H34" i="2" s="1"/>
  <c r="J32" i="2"/>
  <c r="J34" i="2" s="1"/>
  <c r="K32" i="2"/>
  <c r="K34" i="2" s="1"/>
  <c r="L32" i="2"/>
  <c r="L34" i="2" s="1"/>
  <c r="AB661" i="1"/>
  <c r="AK661" i="1" s="1"/>
  <c r="AL661" i="1" s="1"/>
  <c r="AB243" i="1"/>
  <c r="AK457" i="1"/>
  <c r="AL457" i="1" s="1"/>
  <c r="G226" i="2"/>
  <c r="I226" i="2"/>
  <c r="H226" i="2"/>
  <c r="J226" i="2"/>
  <c r="K226" i="2"/>
  <c r="I331" i="2"/>
  <c r="H331" i="2"/>
  <c r="J331" i="2"/>
  <c r="G331" i="2"/>
  <c r="K331" i="2"/>
  <c r="L331" i="2"/>
  <c r="AK485" i="1"/>
  <c r="AL485" i="1" s="1"/>
  <c r="H511" i="1"/>
  <c r="AD534" i="1"/>
  <c r="AD536" i="1" s="1"/>
  <c r="G106" i="2"/>
  <c r="H106" i="2"/>
  <c r="I106" i="2"/>
  <c r="J106" i="2"/>
  <c r="K106" i="2"/>
  <c r="L106" i="2"/>
  <c r="S534" i="1"/>
  <c r="S536" i="1" s="1"/>
  <c r="AK188" i="1"/>
  <c r="AL188" i="1" s="1"/>
  <c r="I210" i="1"/>
  <c r="I222" i="1" s="1"/>
  <c r="H210" i="2"/>
  <c r="I210" i="2"/>
  <c r="G210" i="2"/>
  <c r="K210" i="2"/>
  <c r="L210" i="2"/>
  <c r="J210" i="2"/>
  <c r="G607" i="2"/>
  <c r="I607" i="2"/>
  <c r="H607" i="2"/>
  <c r="J607" i="2"/>
  <c r="K607" i="2"/>
  <c r="L607" i="2"/>
  <c r="G91" i="2"/>
  <c r="H91" i="2"/>
  <c r="J91" i="2"/>
  <c r="K91" i="2"/>
  <c r="I91" i="2"/>
  <c r="L91" i="2"/>
  <c r="AA538" i="1"/>
  <c r="F267" i="2"/>
  <c r="AA121" i="1"/>
  <c r="AA653" i="1"/>
  <c r="H275" i="1"/>
  <c r="F42" i="2"/>
  <c r="F1184" i="2" s="1"/>
  <c r="AB92" i="1"/>
  <c r="AB95" i="1" s="1"/>
  <c r="AB652" i="1"/>
  <c r="AK652" i="1" s="1"/>
  <c r="AL652" i="1" s="1"/>
  <c r="AB113" i="1"/>
  <c r="AK113" i="1" s="1"/>
  <c r="AL113" i="1" s="1"/>
  <c r="AB78" i="1"/>
  <c r="AK78" i="1" s="1"/>
  <c r="AL78" i="1" s="1"/>
  <c r="AB114" i="1"/>
  <c r="AK114" i="1" s="1"/>
  <c r="AL114" i="1" s="1"/>
  <c r="I608" i="2"/>
  <c r="H608" i="2"/>
  <c r="G608" i="2"/>
  <c r="J608" i="2"/>
  <c r="K608" i="2"/>
  <c r="L608" i="2"/>
  <c r="G84" i="2"/>
  <c r="H84" i="2"/>
  <c r="I84" i="2"/>
  <c r="J84" i="2"/>
  <c r="K84" i="2"/>
  <c r="L84" i="2"/>
  <c r="G616" i="2"/>
  <c r="G486" i="2"/>
  <c r="I486" i="2"/>
  <c r="H486" i="2"/>
  <c r="J486" i="2"/>
  <c r="K486" i="2"/>
  <c r="L486" i="2"/>
  <c r="G87" i="2"/>
  <c r="I87" i="2"/>
  <c r="H87" i="2"/>
  <c r="J87" i="2"/>
  <c r="K87" i="2"/>
  <c r="L87" i="2"/>
  <c r="I45" i="2"/>
  <c r="J45" i="2"/>
  <c r="H45" i="2"/>
  <c r="G45" i="2"/>
  <c r="K45" i="2"/>
  <c r="L45" i="2"/>
  <c r="I628" i="2"/>
  <c r="G628" i="2"/>
  <c r="H628" i="2"/>
  <c r="J628" i="2"/>
  <c r="K628" i="2"/>
  <c r="V595" i="1"/>
  <c r="V597" i="1" s="1"/>
  <c r="Z112" i="1"/>
  <c r="Z116" i="1" s="1"/>
  <c r="Z144" i="1" s="1"/>
  <c r="F152" i="2" s="1"/>
  <c r="N152" i="2" s="1"/>
  <c r="Z651" i="1"/>
  <c r="AH112" i="1"/>
  <c r="AH116" i="1" s="1"/>
  <c r="AH144" i="1" s="1"/>
  <c r="F169" i="2" s="1"/>
  <c r="N169" i="2" s="1"/>
  <c r="AH651" i="1"/>
  <c r="AD326" i="1"/>
  <c r="AD328" i="1" s="1"/>
  <c r="G625" i="2"/>
  <c r="H625" i="2"/>
  <c r="I625" i="2"/>
  <c r="J625" i="2"/>
  <c r="K625" i="2"/>
  <c r="G81" i="2"/>
  <c r="H81" i="2"/>
  <c r="I81" i="2"/>
  <c r="J81" i="2"/>
  <c r="K81" i="2"/>
  <c r="L81" i="2"/>
  <c r="P303" i="1"/>
  <c r="P654" i="1" s="1"/>
  <c r="P521" i="1"/>
  <c r="P315" i="1"/>
  <c r="P318" i="1"/>
  <c r="P312" i="1"/>
  <c r="P525" i="1"/>
  <c r="P528" i="1"/>
  <c r="P526" i="1"/>
  <c r="P313" i="1"/>
  <c r="P314" i="1"/>
  <c r="P317" i="1"/>
  <c r="P520" i="1"/>
  <c r="P529" i="1"/>
  <c r="P663" i="1"/>
  <c r="P320" i="1"/>
  <c r="P523" i="1"/>
  <c r="P522" i="1"/>
  <c r="P321" i="1"/>
  <c r="I490" i="2"/>
  <c r="H490" i="2"/>
  <c r="G490" i="2"/>
  <c r="K490" i="2"/>
  <c r="L490" i="2"/>
  <c r="J490" i="2"/>
  <c r="F417" i="2"/>
  <c r="O595" i="1"/>
  <c r="H95" i="1"/>
  <c r="U653" i="1"/>
  <c r="F426" i="2"/>
  <c r="N426" i="2" s="1"/>
  <c r="T595" i="1"/>
  <c r="G603" i="2"/>
  <c r="I603" i="2"/>
  <c r="H603" i="2"/>
  <c r="J603" i="2"/>
  <c r="K603" i="2"/>
  <c r="L603" i="2"/>
  <c r="H616" i="2"/>
  <c r="G508" i="2"/>
  <c r="H508" i="2"/>
  <c r="I508" i="2"/>
  <c r="J508" i="2"/>
  <c r="K508" i="2"/>
  <c r="X524" i="1"/>
  <c r="X591" i="1"/>
  <c r="F609" i="2" s="1"/>
  <c r="N609" i="2" s="1"/>
  <c r="X527" i="1"/>
  <c r="X109" i="1"/>
  <c r="F90" i="2" s="1"/>
  <c r="N90" i="2" s="1"/>
  <c r="X319" i="1"/>
  <c r="X585" i="1"/>
  <c r="X316" i="1"/>
  <c r="X593" i="1"/>
  <c r="X587" i="1"/>
  <c r="F489" i="2" s="1"/>
  <c r="F491" i="2" s="1"/>
  <c r="F320" i="2"/>
  <c r="G316" i="2"/>
  <c r="H316" i="2"/>
  <c r="I316" i="2"/>
  <c r="J316" i="2"/>
  <c r="J320" i="2" s="1"/>
  <c r="K316" i="2"/>
  <c r="L316" i="2"/>
  <c r="G209" i="2"/>
  <c r="F211" i="2"/>
  <c r="I209" i="2"/>
  <c r="H209" i="2"/>
  <c r="J209" i="2"/>
  <c r="K209" i="2"/>
  <c r="L209" i="2"/>
  <c r="H222" i="1"/>
  <c r="G496" i="2"/>
  <c r="I283" i="2"/>
  <c r="G283" i="2"/>
  <c r="H283" i="2"/>
  <c r="J283" i="2"/>
  <c r="K283" i="2"/>
  <c r="M514" i="2"/>
  <c r="M508" i="2"/>
  <c r="M625" i="2"/>
  <c r="M563" i="2"/>
  <c r="M628" i="2"/>
  <c r="M297" i="2"/>
  <c r="M13" i="2"/>
  <c r="M391" i="2"/>
  <c r="M298" i="2"/>
  <c r="M355" i="2"/>
  <c r="M340" i="2"/>
  <c r="M526" i="2"/>
  <c r="M12" i="2"/>
  <c r="M394" i="2"/>
  <c r="M397" i="2"/>
  <c r="M354" i="2"/>
  <c r="M71" i="2"/>
  <c r="M528" i="2"/>
  <c r="M527" i="2"/>
  <c r="M566" i="2"/>
  <c r="M356" i="2"/>
  <c r="M511" i="2"/>
  <c r="M631" i="2"/>
  <c r="M337" i="2"/>
  <c r="M454" i="2"/>
  <c r="M226" i="2"/>
  <c r="M439" i="2"/>
  <c r="M382" i="2"/>
  <c r="M11" i="2"/>
  <c r="M589" i="2"/>
  <c r="M299" i="2"/>
  <c r="M400" i="2"/>
  <c r="M343" i="2"/>
  <c r="M654" i="2"/>
  <c r="M572" i="2"/>
  <c r="D33" i="21"/>
  <c r="F33" i="21" s="1"/>
  <c r="K33" i="21" s="1"/>
  <c r="L33" i="21" s="1"/>
  <c r="M211" i="2"/>
  <c r="M377" i="2"/>
  <c r="M616" i="2"/>
  <c r="M1037" i="2"/>
  <c r="M554" i="2"/>
  <c r="M97" i="2"/>
  <c r="M549" i="2"/>
  <c r="M569" i="2"/>
  <c r="N545" i="2"/>
  <c r="N1025" i="2"/>
  <c r="N1037" i="2" s="1"/>
  <c r="N653" i="2"/>
  <c r="N664" i="2"/>
  <c r="N663" i="2"/>
  <c r="N656" i="2"/>
  <c r="N659" i="2"/>
  <c r="N1072" i="2"/>
  <c r="N1084" i="2" s="1"/>
  <c r="N1208" i="2"/>
  <c r="N804" i="2"/>
  <c r="N651" i="2"/>
  <c r="N838" i="2" s="1"/>
  <c r="N547" i="2"/>
  <c r="N1106" i="2"/>
  <c r="N505" i="2" s="1"/>
  <c r="N381" i="2"/>
  <c r="N380" i="2"/>
  <c r="N317" i="2"/>
  <c r="N622" i="2"/>
  <c r="N26" i="2"/>
  <c r="N57" i="2"/>
  <c r="N480" i="2"/>
  <c r="N96" i="2"/>
  <c r="N29" i="2"/>
  <c r="N91" i="2"/>
  <c r="N112" i="2"/>
  <c r="N614" i="2"/>
  <c r="N483" i="2"/>
  <c r="N38" i="2"/>
  <c r="N33" i="2"/>
  <c r="N438" i="2"/>
  <c r="N106" i="2"/>
  <c r="N316" i="2"/>
  <c r="N657" i="2"/>
  <c r="N1117" i="2"/>
  <c r="N553" i="2"/>
  <c r="N662" i="2"/>
  <c r="N805" i="2"/>
  <c r="N831" i="2" s="1"/>
  <c r="N667" i="2"/>
  <c r="N541" i="2"/>
  <c r="N828" i="2"/>
  <c r="N557" i="2"/>
  <c r="N366" i="2"/>
  <c r="N31" i="2"/>
  <c r="N372" i="2"/>
  <c r="N54" i="2"/>
  <c r="N87" i="2"/>
  <c r="N95" i="2"/>
  <c r="N319" i="2"/>
  <c r="N115" i="2"/>
  <c r="N495" i="2"/>
  <c r="N603" i="2"/>
  <c r="N600" i="2"/>
  <c r="N490" i="2"/>
  <c r="N209" i="2"/>
  <c r="N430" i="2"/>
  <c r="N799" i="2"/>
  <c r="N1115" i="2"/>
  <c r="N1103" i="2"/>
  <c r="N1108" i="2"/>
  <c r="N658" i="2"/>
  <c r="N1107" i="2"/>
  <c r="N451" i="2" s="1"/>
  <c r="N652" i="2"/>
  <c r="N1116" i="2"/>
  <c r="N548" i="2"/>
  <c r="N385" i="2"/>
  <c r="N375" i="2"/>
  <c r="N388" i="2"/>
  <c r="N324" i="2"/>
  <c r="N488" i="2"/>
  <c r="N606" i="2"/>
  <c r="N323" i="2"/>
  <c r="N486" i="2"/>
  <c r="N81" i="2"/>
  <c r="N267" i="2"/>
  <c r="N437" i="2"/>
  <c r="N30" i="2"/>
  <c r="N607" i="2"/>
  <c r="N560" i="2"/>
  <c r="N795" i="2"/>
  <c r="N829" i="2"/>
  <c r="N826" i="2"/>
  <c r="N1100" i="2"/>
  <c r="N796" i="2"/>
  <c r="N797" i="2"/>
  <c r="N546" i="2"/>
  <c r="N544" i="2"/>
  <c r="N369" i="2"/>
  <c r="N45" i="2"/>
  <c r="N806" i="2"/>
  <c r="O1" i="2"/>
  <c r="N538" i="2"/>
  <c r="N312" i="2"/>
  <c r="N608" i="2"/>
  <c r="N615" i="2"/>
  <c r="N494" i="2"/>
  <c r="N373" i="2"/>
  <c r="N487" i="2"/>
  <c r="N666" i="2"/>
  <c r="N803" i="2"/>
  <c r="N374" i="2"/>
  <c r="N502" i="2"/>
  <c r="N89" i="2"/>
  <c r="N84" i="2"/>
  <c r="N23" i="2"/>
  <c r="N552" i="2"/>
  <c r="N825" i="2"/>
  <c r="N794" i="2"/>
  <c r="N376" i="2"/>
  <c r="N309" i="2"/>
  <c r="N48" i="2"/>
  <c r="N318" i="2"/>
  <c r="N109" i="2"/>
  <c r="N210" i="2"/>
  <c r="N88" i="2"/>
  <c r="N51" i="2"/>
  <c r="N798" i="2"/>
  <c r="N315" i="2"/>
  <c r="N266" i="2"/>
  <c r="N665" i="2"/>
  <c r="N37" i="2"/>
  <c r="N331" i="2"/>
  <c r="N32" i="2"/>
  <c r="N610" i="2"/>
  <c r="M880" i="2"/>
  <c r="M866" i="2"/>
  <c r="M1118" i="2"/>
  <c r="M325" i="2"/>
  <c r="M34" i="2"/>
  <c r="M505" i="2"/>
  <c r="M320" i="2"/>
  <c r="M39" i="2"/>
  <c r="H29" i="21"/>
  <c r="F201" i="2" l="1"/>
  <c r="N201" i="2" s="1"/>
  <c r="H211" i="2"/>
  <c r="Q121" i="1"/>
  <c r="W538" i="1"/>
  <c r="AF330" i="1"/>
  <c r="Y597" i="1"/>
  <c r="AF597" i="1"/>
  <c r="J597" i="1"/>
  <c r="L211" i="2"/>
  <c r="AF121" i="1"/>
  <c r="F280" i="2"/>
  <c r="M280" i="2" s="1"/>
  <c r="N42" i="2"/>
  <c r="Q538" i="1"/>
  <c r="S330" i="1"/>
  <c r="W653" i="1"/>
  <c r="U597" i="1"/>
  <c r="H29" i="15"/>
  <c r="K211" i="2"/>
  <c r="F248" i="2"/>
  <c r="S597" i="1"/>
  <c r="T538" i="1"/>
  <c r="AK210" i="1"/>
  <c r="AL210" i="1" s="1"/>
  <c r="I320" i="2"/>
  <c r="Y121" i="1"/>
  <c r="N489" i="2"/>
  <c r="U538" i="1"/>
  <c r="W330" i="1"/>
  <c r="W651" i="1" s="1"/>
  <c r="AJ326" i="1"/>
  <c r="AJ328" i="1" s="1"/>
  <c r="AJ330" i="1" s="1"/>
  <c r="T597" i="1"/>
  <c r="F258" i="2"/>
  <c r="N258" i="2" s="1"/>
  <c r="T330" i="1"/>
  <c r="T112" i="1" s="1"/>
  <c r="T116" i="1" s="1"/>
  <c r="T144" i="1" s="1"/>
  <c r="F141" i="2" s="1"/>
  <c r="O141" i="2" s="1"/>
  <c r="O653" i="1"/>
  <c r="F262" i="2"/>
  <c r="N262" i="2" s="1"/>
  <c r="K634" i="2"/>
  <c r="H634" i="2"/>
  <c r="I634" i="2"/>
  <c r="L634" i="2"/>
  <c r="G634" i="2"/>
  <c r="J634" i="2"/>
  <c r="AJ534" i="1"/>
  <c r="AJ536" i="1" s="1"/>
  <c r="J211" i="2"/>
  <c r="W597" i="1"/>
  <c r="O597" i="1"/>
  <c r="Y538" i="1"/>
  <c r="F239" i="2"/>
  <c r="V653" i="1"/>
  <c r="F457" i="2"/>
  <c r="AJ595" i="1"/>
  <c r="H320" i="2"/>
  <c r="K514" i="2"/>
  <c r="H514" i="2"/>
  <c r="I514" i="2"/>
  <c r="L514" i="2"/>
  <c r="G514" i="2"/>
  <c r="J514" i="2"/>
  <c r="L115" i="2"/>
  <c r="J115" i="2"/>
  <c r="H115" i="2"/>
  <c r="M115" i="2"/>
  <c r="I115" i="2"/>
  <c r="G115" i="2"/>
  <c r="K115" i="2"/>
  <c r="M634" i="2"/>
  <c r="T121" i="1"/>
  <c r="O330" i="1"/>
  <c r="F246" i="2"/>
  <c r="V538" i="1"/>
  <c r="L326" i="1"/>
  <c r="L328" i="1" s="1"/>
  <c r="J469" i="2"/>
  <c r="H469" i="2"/>
  <c r="G469" i="2"/>
  <c r="K469" i="2"/>
  <c r="I469" i="2"/>
  <c r="L469" i="2"/>
  <c r="T653" i="1"/>
  <c r="J121" i="1"/>
  <c r="O121" i="1"/>
  <c r="F259" i="2"/>
  <c r="N259" i="2" s="1"/>
  <c r="K326" i="1"/>
  <c r="K328" i="1" s="1"/>
  <c r="F183" i="2" s="1"/>
  <c r="N183" i="2" s="1"/>
  <c r="F28" i="25" s="1"/>
  <c r="Q597" i="1"/>
  <c r="M326" i="1"/>
  <c r="M328" i="1" s="1"/>
  <c r="M534" i="1"/>
  <c r="M536" i="1" s="1"/>
  <c r="M653" i="1" s="1"/>
  <c r="J589" i="2"/>
  <c r="H589" i="2"/>
  <c r="K589" i="2"/>
  <c r="G589" i="2"/>
  <c r="I589" i="2"/>
  <c r="L589" i="2"/>
  <c r="J70" i="2"/>
  <c r="H70" i="2"/>
  <c r="G70" i="2"/>
  <c r="I70" i="2"/>
  <c r="K70" i="2"/>
  <c r="L70" i="2"/>
  <c r="F412" i="2"/>
  <c r="L595" i="1"/>
  <c r="L534" i="1"/>
  <c r="L536" i="1" s="1"/>
  <c r="K330" i="1"/>
  <c r="F328" i="2"/>
  <c r="N328" i="2" s="1"/>
  <c r="W121" i="1"/>
  <c r="Y330" i="1"/>
  <c r="Y651" i="1" s="1"/>
  <c r="F191" i="2"/>
  <c r="J653" i="1"/>
  <c r="K538" i="1"/>
  <c r="F240" i="2"/>
  <c r="K121" i="1"/>
  <c r="K653" i="1"/>
  <c r="H470" i="2"/>
  <c r="J470" i="2"/>
  <c r="K470" i="2"/>
  <c r="G470" i="2"/>
  <c r="I470" i="2"/>
  <c r="L470" i="2"/>
  <c r="H590" i="2"/>
  <c r="J590" i="2"/>
  <c r="I590" i="2"/>
  <c r="K590" i="2"/>
  <c r="G590" i="2"/>
  <c r="L590" i="2"/>
  <c r="M330" i="1"/>
  <c r="F185" i="2"/>
  <c r="N185" i="2" s="1"/>
  <c r="N297" i="2"/>
  <c r="F411" i="2"/>
  <c r="N411" i="2" s="1"/>
  <c r="K595" i="1"/>
  <c r="J69" i="2"/>
  <c r="H69" i="2"/>
  <c r="I69" i="2"/>
  <c r="G69" i="2"/>
  <c r="K69" i="2"/>
  <c r="L69" i="2"/>
  <c r="J71" i="2"/>
  <c r="G71" i="2"/>
  <c r="K71" i="2"/>
  <c r="H71" i="2"/>
  <c r="I71" i="2"/>
  <c r="L71" i="2"/>
  <c r="F413" i="2"/>
  <c r="N413" i="2" s="1"/>
  <c r="M595" i="1"/>
  <c r="M597" i="1" s="1"/>
  <c r="N268" i="2"/>
  <c r="J28" i="21"/>
  <c r="I211" i="2"/>
  <c r="H29" i="19"/>
  <c r="H29" i="14"/>
  <c r="X326" i="1"/>
  <c r="X328" i="1" s="1"/>
  <c r="F204" i="2" s="1"/>
  <c r="F206" i="2" s="1"/>
  <c r="AK92" i="1"/>
  <c r="AL92" i="1" s="1"/>
  <c r="I277" i="1"/>
  <c r="I303" i="1" s="1"/>
  <c r="I654" i="1" s="1"/>
  <c r="AC326" i="1"/>
  <c r="AC328" i="1" s="1"/>
  <c r="AC330" i="1" s="1"/>
  <c r="AC534" i="1"/>
  <c r="AC536" i="1" s="1"/>
  <c r="AC121" i="1" s="1"/>
  <c r="J588" i="2"/>
  <c r="H588" i="2"/>
  <c r="K588" i="2"/>
  <c r="G588" i="2"/>
  <c r="I588" i="2"/>
  <c r="L588" i="2"/>
  <c r="H468" i="2"/>
  <c r="J468" i="2"/>
  <c r="K468" i="2"/>
  <c r="G468" i="2"/>
  <c r="I468" i="2"/>
  <c r="L468" i="2"/>
  <c r="L320" i="2"/>
  <c r="H29" i="20"/>
  <c r="X534" i="1"/>
  <c r="X536" i="1" s="1"/>
  <c r="G426" i="2"/>
  <c r="I426" i="2"/>
  <c r="H426" i="2"/>
  <c r="J426" i="2"/>
  <c r="K426" i="2"/>
  <c r="L426" i="2"/>
  <c r="M426" i="2"/>
  <c r="H109" i="1"/>
  <c r="H585" i="1"/>
  <c r="H319" i="1"/>
  <c r="H527" i="1"/>
  <c r="H316" i="1"/>
  <c r="H587" i="1"/>
  <c r="H591" i="1"/>
  <c r="H524" i="1"/>
  <c r="H593" i="1"/>
  <c r="AK95" i="1"/>
  <c r="AL95" i="1" s="1"/>
  <c r="G262" i="2"/>
  <c r="L262" i="2"/>
  <c r="H29" i="16"/>
  <c r="AB524" i="1"/>
  <c r="AB527" i="1"/>
  <c r="AB591" i="1"/>
  <c r="F619" i="2" s="1"/>
  <c r="O619" i="2" s="1"/>
  <c r="AB316" i="1"/>
  <c r="AB593" i="1"/>
  <c r="AB109" i="1"/>
  <c r="F100" i="2" s="1"/>
  <c r="O100" i="2" s="1"/>
  <c r="AB319" i="1"/>
  <c r="AB587" i="1"/>
  <c r="F499" i="2" s="1"/>
  <c r="AB585" i="1"/>
  <c r="I205" i="2"/>
  <c r="H205" i="2"/>
  <c r="G205" i="2"/>
  <c r="K205" i="2"/>
  <c r="L205" i="2"/>
  <c r="J205" i="2"/>
  <c r="M205" i="2"/>
  <c r="H523" i="1"/>
  <c r="AK523" i="1" s="1"/>
  <c r="AL523" i="1" s="1"/>
  <c r="H529" i="1"/>
  <c r="AK529" i="1" s="1"/>
  <c r="AL529" i="1" s="1"/>
  <c r="H313" i="1"/>
  <c r="AK313" i="1" s="1"/>
  <c r="AL313" i="1" s="1"/>
  <c r="H520" i="1"/>
  <c r="AK511" i="1"/>
  <c r="AL511" i="1" s="1"/>
  <c r="H526" i="1"/>
  <c r="AK526" i="1" s="1"/>
  <c r="AL526" i="1" s="1"/>
  <c r="H314" i="1"/>
  <c r="AK314" i="1" s="1"/>
  <c r="AL314" i="1" s="1"/>
  <c r="H525" i="1"/>
  <c r="AK525" i="1" s="1"/>
  <c r="AL525" i="1" s="1"/>
  <c r="H522" i="1"/>
  <c r="AK522" i="1" s="1"/>
  <c r="AL522" i="1" s="1"/>
  <c r="H320" i="1"/>
  <c r="AK320" i="1" s="1"/>
  <c r="AL320" i="1" s="1"/>
  <c r="H317" i="1"/>
  <c r="AK317" i="1" s="1"/>
  <c r="AL317" i="1" s="1"/>
  <c r="H528" i="1"/>
  <c r="AK528" i="1" s="1"/>
  <c r="AL528" i="1" s="1"/>
  <c r="H318" i="1"/>
  <c r="AK318" i="1" s="1"/>
  <c r="AL318" i="1" s="1"/>
  <c r="H521" i="1"/>
  <c r="AK521" i="1" s="1"/>
  <c r="AL521" i="1" s="1"/>
  <c r="H321" i="1"/>
  <c r="AK321" i="1" s="1"/>
  <c r="AL321" i="1" s="1"/>
  <c r="H663" i="1"/>
  <c r="AK663" i="1" s="1"/>
  <c r="AL663" i="1" s="1"/>
  <c r="H315" i="1"/>
  <c r="AK315" i="1" s="1"/>
  <c r="AL315" i="1" s="1"/>
  <c r="H312" i="1"/>
  <c r="I534" i="1"/>
  <c r="I536" i="1" s="1"/>
  <c r="G201" i="2"/>
  <c r="H201" i="2"/>
  <c r="I201" i="2"/>
  <c r="J201" i="2"/>
  <c r="K201" i="2"/>
  <c r="L201" i="2"/>
  <c r="M201" i="2"/>
  <c r="I448" i="2"/>
  <c r="H448" i="2"/>
  <c r="G448" i="2"/>
  <c r="K448" i="2"/>
  <c r="J448" i="2"/>
  <c r="L448" i="2"/>
  <c r="H451" i="2"/>
  <c r="I451" i="2"/>
  <c r="G451" i="2"/>
  <c r="J451" i="2"/>
  <c r="K451" i="2"/>
  <c r="L451" i="2"/>
  <c r="I103" i="2"/>
  <c r="J103" i="2"/>
  <c r="H103" i="2"/>
  <c r="K103" i="2"/>
  <c r="G103" i="2"/>
  <c r="L103" i="2"/>
  <c r="M103" i="2"/>
  <c r="G429" i="2"/>
  <c r="H429" i="2"/>
  <c r="I429" i="2"/>
  <c r="J429" i="2"/>
  <c r="K429" i="2"/>
  <c r="L429" i="2"/>
  <c r="M429" i="2"/>
  <c r="F1170" i="2"/>
  <c r="O112" i="1"/>
  <c r="O116" i="1" s="1"/>
  <c r="O144" i="1" s="1"/>
  <c r="O651" i="1"/>
  <c r="G90" i="2"/>
  <c r="G92" i="2" s="1"/>
  <c r="H90" i="2"/>
  <c r="H92" i="2" s="1"/>
  <c r="I90" i="2"/>
  <c r="I92" i="2" s="1"/>
  <c r="J90" i="2"/>
  <c r="K90" i="2"/>
  <c r="K92" i="2" s="1"/>
  <c r="L90" i="2"/>
  <c r="L92" i="2" s="1"/>
  <c r="M90" i="2"/>
  <c r="M92" i="2" s="1"/>
  <c r="I203" i="2"/>
  <c r="J203" i="2"/>
  <c r="G203" i="2"/>
  <c r="H203" i="2"/>
  <c r="K203" i="2"/>
  <c r="L203" i="2"/>
  <c r="M203" i="2"/>
  <c r="P326" i="1"/>
  <c r="P328" i="1" s="1"/>
  <c r="G320" i="2"/>
  <c r="AD330" i="1"/>
  <c r="AD597" i="1"/>
  <c r="F220" i="2"/>
  <c r="N220" i="2" s="1"/>
  <c r="J92" i="2"/>
  <c r="F92" i="2"/>
  <c r="J42" i="2"/>
  <c r="J1184" i="2" s="1"/>
  <c r="H42" i="2"/>
  <c r="H1184" i="2" s="1"/>
  <c r="K42" i="2"/>
  <c r="K1184" i="2" s="1"/>
  <c r="I42" i="2"/>
  <c r="I1184" i="2" s="1"/>
  <c r="L42" i="2"/>
  <c r="L1184" i="2" s="1"/>
  <c r="L837" i="2" s="1"/>
  <c r="D35" i="20" s="1"/>
  <c r="G42" i="2"/>
  <c r="G1184" i="2" s="1"/>
  <c r="M42" i="2"/>
  <c r="M1184" i="2" s="1"/>
  <c r="M837" i="2" s="1"/>
  <c r="D35" i="21" s="1"/>
  <c r="G211" i="2"/>
  <c r="H29" i="17"/>
  <c r="I223" i="2"/>
  <c r="J28" i="16" s="1"/>
  <c r="G223" i="2"/>
  <c r="J28" i="14" s="1"/>
  <c r="H223" i="2"/>
  <c r="J28" i="15" s="1"/>
  <c r="J223" i="2"/>
  <c r="J28" i="17" s="1"/>
  <c r="K223" i="2"/>
  <c r="J28" i="19" s="1"/>
  <c r="L223" i="2"/>
  <c r="J28" i="20" s="1"/>
  <c r="I326" i="1"/>
  <c r="I431" i="2"/>
  <c r="J431" i="2"/>
  <c r="G431" i="2"/>
  <c r="H431" i="2"/>
  <c r="K431" i="2"/>
  <c r="L431" i="2"/>
  <c r="M431" i="2"/>
  <c r="U651" i="1"/>
  <c r="U112" i="1"/>
  <c r="U116" i="1" s="1"/>
  <c r="U144" i="1" s="1"/>
  <c r="F144" i="2" s="1"/>
  <c r="O144" i="2" s="1"/>
  <c r="I622" i="2"/>
  <c r="H622" i="2"/>
  <c r="J622" i="2"/>
  <c r="K622" i="2"/>
  <c r="G622" i="2"/>
  <c r="L622" i="2"/>
  <c r="M622" i="2"/>
  <c r="G255" i="2"/>
  <c r="I255" i="2"/>
  <c r="H255" i="2"/>
  <c r="J255" i="2"/>
  <c r="K255" i="2"/>
  <c r="L255" i="2"/>
  <c r="M255" i="2"/>
  <c r="G423" i="2"/>
  <c r="H423" i="2"/>
  <c r="I423" i="2"/>
  <c r="J423" i="2"/>
  <c r="K423" i="2"/>
  <c r="L423" i="2"/>
  <c r="M423" i="2"/>
  <c r="F268" i="2"/>
  <c r="G266" i="2"/>
  <c r="H266" i="2"/>
  <c r="I266" i="2"/>
  <c r="J266" i="2"/>
  <c r="K266" i="2"/>
  <c r="L266" i="2"/>
  <c r="M266" i="2"/>
  <c r="P534" i="1"/>
  <c r="P536" i="1" s="1"/>
  <c r="K320" i="2"/>
  <c r="G195" i="2"/>
  <c r="H195" i="2"/>
  <c r="I195" i="2"/>
  <c r="J195" i="2"/>
  <c r="K195" i="2"/>
  <c r="L195" i="2"/>
  <c r="M195" i="2"/>
  <c r="G152" i="2"/>
  <c r="F154" i="2"/>
  <c r="I152" i="2"/>
  <c r="H152" i="2"/>
  <c r="J152" i="2"/>
  <c r="K152" i="2"/>
  <c r="L152" i="2"/>
  <c r="M152" i="2"/>
  <c r="F277" i="2"/>
  <c r="AD653" i="1"/>
  <c r="AD121" i="1"/>
  <c r="AD538" i="1"/>
  <c r="G198" i="2"/>
  <c r="H198" i="2"/>
  <c r="I198" i="2"/>
  <c r="J198" i="2"/>
  <c r="K198" i="2"/>
  <c r="L198" i="2"/>
  <c r="M198" i="2"/>
  <c r="F59" i="2"/>
  <c r="I433" i="2"/>
  <c r="H433" i="2"/>
  <c r="G433" i="2"/>
  <c r="K433" i="2"/>
  <c r="L433" i="2"/>
  <c r="J433" i="2"/>
  <c r="M433" i="2"/>
  <c r="I502" i="2"/>
  <c r="H502" i="2"/>
  <c r="J502" i="2"/>
  <c r="G502" i="2"/>
  <c r="K502" i="2"/>
  <c r="L502" i="2"/>
  <c r="M502" i="2"/>
  <c r="F409" i="2"/>
  <c r="I595" i="1"/>
  <c r="G202" i="2"/>
  <c r="H202" i="2"/>
  <c r="I202" i="2"/>
  <c r="J202" i="2"/>
  <c r="K202" i="2"/>
  <c r="L202" i="2"/>
  <c r="M202" i="2"/>
  <c r="AK222" i="1"/>
  <c r="AL222" i="1" s="1"/>
  <c r="H277" i="1"/>
  <c r="G489" i="2"/>
  <c r="G491" i="2" s="1"/>
  <c r="I489" i="2"/>
  <c r="I491" i="2" s="1"/>
  <c r="H489" i="2"/>
  <c r="H491" i="2" s="1"/>
  <c r="J489" i="2"/>
  <c r="J491" i="2" s="1"/>
  <c r="K489" i="2"/>
  <c r="K491" i="2" s="1"/>
  <c r="L489" i="2"/>
  <c r="L491" i="2" s="1"/>
  <c r="M489" i="2"/>
  <c r="M491" i="2" s="1"/>
  <c r="F432" i="2"/>
  <c r="O432" i="2" s="1"/>
  <c r="X595" i="1"/>
  <c r="G609" i="2"/>
  <c r="G611" i="2" s="1"/>
  <c r="H609" i="2"/>
  <c r="H611" i="2" s="1"/>
  <c r="I609" i="2"/>
  <c r="I611" i="2" s="1"/>
  <c r="J609" i="2"/>
  <c r="J611" i="2" s="1"/>
  <c r="K609" i="2"/>
  <c r="K611" i="2" s="1"/>
  <c r="L609" i="2"/>
  <c r="L611" i="2" s="1"/>
  <c r="M609" i="2"/>
  <c r="M611" i="2" s="1"/>
  <c r="G258" i="2"/>
  <c r="H258" i="2"/>
  <c r="I258" i="2"/>
  <c r="J258" i="2"/>
  <c r="K258" i="2"/>
  <c r="L258" i="2"/>
  <c r="M258" i="2"/>
  <c r="S112" i="1"/>
  <c r="S116" i="1" s="1"/>
  <c r="S144" i="1" s="1"/>
  <c r="F138" i="2" s="1"/>
  <c r="O138" i="2" s="1"/>
  <c r="S651" i="1"/>
  <c r="H169" i="2"/>
  <c r="G169" i="2"/>
  <c r="I169" i="2"/>
  <c r="J169" i="2"/>
  <c r="K169" i="2"/>
  <c r="L169" i="2"/>
  <c r="M169" i="2"/>
  <c r="I260" i="2"/>
  <c r="G260" i="2"/>
  <c r="H260" i="2"/>
  <c r="J260" i="2"/>
  <c r="K260" i="2"/>
  <c r="L260" i="2"/>
  <c r="M260" i="2"/>
  <c r="I267" i="2"/>
  <c r="G267" i="2"/>
  <c r="H267" i="2"/>
  <c r="K267" i="2"/>
  <c r="J267" i="2"/>
  <c r="L267" i="2"/>
  <c r="M267" i="2"/>
  <c r="S653" i="1"/>
  <c r="F252" i="2"/>
  <c r="O252" i="2" s="1"/>
  <c r="S538" i="1"/>
  <c r="S121" i="1"/>
  <c r="AB256" i="1"/>
  <c r="AK243" i="1"/>
  <c r="AL243" i="1" s="1"/>
  <c r="H280" i="2"/>
  <c r="G280" i="2"/>
  <c r="I280" i="2"/>
  <c r="J280" i="2"/>
  <c r="K280" i="2"/>
  <c r="L280" i="2"/>
  <c r="AF112" i="1"/>
  <c r="AF116" i="1" s="1"/>
  <c r="AF144" i="1" s="1"/>
  <c r="F166" i="2" s="1"/>
  <c r="O166" i="2" s="1"/>
  <c r="AF651" i="1"/>
  <c r="Q651" i="1"/>
  <c r="Q112" i="1"/>
  <c r="Q116" i="1" s="1"/>
  <c r="Q144" i="1" s="1"/>
  <c r="F134" i="2" s="1"/>
  <c r="F1258" i="2" s="1"/>
  <c r="G153" i="2"/>
  <c r="H153" i="2"/>
  <c r="J153" i="2"/>
  <c r="K153" i="2"/>
  <c r="I153" i="2"/>
  <c r="L153" i="2"/>
  <c r="M153" i="2"/>
  <c r="F445" i="2"/>
  <c r="O445" i="2" s="1"/>
  <c r="AC595" i="1"/>
  <c r="AC597" i="1" s="1"/>
  <c r="AC538" i="1"/>
  <c r="F611" i="2"/>
  <c r="J112" i="1"/>
  <c r="J116" i="1" s="1"/>
  <c r="J144" i="1" s="1"/>
  <c r="F125" i="2" s="1"/>
  <c r="F1255" i="2" s="1"/>
  <c r="J651" i="1"/>
  <c r="F418" i="2"/>
  <c r="F420" i="2" s="1"/>
  <c r="P595" i="1"/>
  <c r="V112" i="1"/>
  <c r="V116" i="1" s="1"/>
  <c r="V144" i="1" s="1"/>
  <c r="F145" i="2" s="1"/>
  <c r="O145" i="2" s="1"/>
  <c r="V651" i="1"/>
  <c r="M259" i="2"/>
  <c r="N280" i="2"/>
  <c r="N354" i="2"/>
  <c r="N277" i="2"/>
  <c r="N334" i="2"/>
  <c r="N448" i="2"/>
  <c r="N391" i="2"/>
  <c r="N39" i="2"/>
  <c r="N625" i="2"/>
  <c r="N563" i="2"/>
  <c r="N13" i="2"/>
  <c r="N240" i="2"/>
  <c r="N355" i="2"/>
  <c r="N589" i="2"/>
  <c r="N527" i="2"/>
  <c r="N12" i="2"/>
  <c r="N299" i="2"/>
  <c r="N590" i="2"/>
  <c r="N566" i="2"/>
  <c r="N588" i="2"/>
  <c r="N654" i="2"/>
  <c r="N223" i="2"/>
  <c r="N511" i="2"/>
  <c r="N340" i="2"/>
  <c r="N628" i="2"/>
  <c r="N394" i="2"/>
  <c r="N631" i="2"/>
  <c r="N283" i="2"/>
  <c r="N508" i="2"/>
  <c r="N569" i="2"/>
  <c r="N554" i="2"/>
  <c r="N69" i="2"/>
  <c r="N70" i="2"/>
  <c r="N397" i="2"/>
  <c r="N469" i="2"/>
  <c r="N454" i="2"/>
  <c r="N337" i="2"/>
  <c r="N71" i="2"/>
  <c r="N226" i="2"/>
  <c r="N11" i="2"/>
  <c r="N298" i="2"/>
  <c r="N439" i="2"/>
  <c r="N634" i="2"/>
  <c r="N514" i="2"/>
  <c r="N572" i="2"/>
  <c r="N526" i="2"/>
  <c r="N468" i="2"/>
  <c r="N343" i="2"/>
  <c r="N400" i="2"/>
  <c r="N457" i="2"/>
  <c r="N412" i="2"/>
  <c r="N470" i="2"/>
  <c r="N356" i="2"/>
  <c r="N325" i="2"/>
  <c r="N97" i="2"/>
  <c r="L954" i="2"/>
  <c r="D33" i="25"/>
  <c r="F33" i="25" s="1"/>
  <c r="K33" i="25" s="1"/>
  <c r="L33" i="25" s="1"/>
  <c r="O662" i="2"/>
  <c r="O1108" i="2"/>
  <c r="O634" i="2" s="1"/>
  <c r="O657" i="2"/>
  <c r="O797" i="2"/>
  <c r="O667" i="2"/>
  <c r="O659" i="2"/>
  <c r="O663" i="2"/>
  <c r="O796" i="2"/>
  <c r="O806" i="2"/>
  <c r="O557" i="2"/>
  <c r="O544" i="2"/>
  <c r="O563" i="2"/>
  <c r="O374" i="2"/>
  <c r="O381" i="2"/>
  <c r="O380" i="2"/>
  <c r="O103" i="2"/>
  <c r="O622" i="2"/>
  <c r="O309" i="2"/>
  <c r="O480" i="2"/>
  <c r="O260" i="2"/>
  <c r="O486" i="2"/>
  <c r="O489" i="2"/>
  <c r="O29" i="2"/>
  <c r="O426" i="2"/>
  <c r="O373" i="2"/>
  <c r="O23" i="2"/>
  <c r="O112" i="2"/>
  <c r="O495" i="2"/>
  <c r="O438" i="2"/>
  <c r="O625" i="2"/>
  <c r="O505" i="2"/>
  <c r="O607" i="2"/>
  <c r="O799" i="2"/>
  <c r="O548" i="2"/>
  <c r="O653" i="2"/>
  <c r="O804" i="2"/>
  <c r="O830" i="2" s="1"/>
  <c r="O651" i="2"/>
  <c r="O838" i="2" s="1"/>
  <c r="O795" i="2"/>
  <c r="O1103" i="2"/>
  <c r="O1072" i="2"/>
  <c r="O1084" i="2" s="1"/>
  <c r="P1" i="2"/>
  <c r="O1117" i="2"/>
  <c r="O1115" i="2"/>
  <c r="O545" i="2"/>
  <c r="O547" i="2"/>
  <c r="O366" i="2"/>
  <c r="O385" i="2"/>
  <c r="O45" i="2"/>
  <c r="O31" i="2"/>
  <c r="O665" i="2"/>
  <c r="O1208" i="2"/>
  <c r="O541" i="2"/>
  <c r="O652" i="2"/>
  <c r="O664" i="2"/>
  <c r="O825" i="2"/>
  <c r="O560" i="2"/>
  <c r="O388" i="2"/>
  <c r="O317" i="2"/>
  <c r="O42" i="2"/>
  <c r="O26" i="2"/>
  <c r="O488" i="2"/>
  <c r="O502" i="2"/>
  <c r="O603" i="2"/>
  <c r="O600" i="2"/>
  <c r="O33" i="2"/>
  <c r="O57" i="2"/>
  <c r="O115" i="2"/>
  <c r="O318" i="2"/>
  <c r="O609" i="2"/>
  <c r="O494" i="2"/>
  <c r="O610" i="2"/>
  <c r="O205" i="2"/>
  <c r="O266" i="2"/>
  <c r="O429" i="2"/>
  <c r="O316" i="2"/>
  <c r="O88" i="2"/>
  <c r="O828" i="2"/>
  <c r="O656" i="2"/>
  <c r="O1025" i="2"/>
  <c r="O1037" i="2" s="1"/>
  <c r="O538" i="2"/>
  <c r="O805" i="2"/>
  <c r="O831" i="2" s="1"/>
  <c r="O829" i="2"/>
  <c r="O552" i="2"/>
  <c r="O372" i="2"/>
  <c r="O608" i="2"/>
  <c r="O89" i="2"/>
  <c r="O32" i="2"/>
  <c r="O423" i="2"/>
  <c r="O54" i="2"/>
  <c r="O38" i="2"/>
  <c r="O319" i="2"/>
  <c r="O37" i="2"/>
  <c r="O203" i="2"/>
  <c r="O84" i="2"/>
  <c r="O267" i="2"/>
  <c r="O90" i="2"/>
  <c r="O277" i="2"/>
  <c r="O30" i="2"/>
  <c r="O490" i="2"/>
  <c r="O430" i="2"/>
  <c r="O826" i="2"/>
  <c r="D32" i="26" s="1"/>
  <c r="E32" i="26" s="1"/>
  <c r="K32" i="26" s="1"/>
  <c r="L32" i="26" s="1"/>
  <c r="O658" i="2"/>
  <c r="O369" i="2"/>
  <c r="O51" i="2"/>
  <c r="O431" i="2"/>
  <c r="O95" i="2"/>
  <c r="O87" i="2"/>
  <c r="O81" i="2"/>
  <c r="O195" i="2"/>
  <c r="O448" i="2"/>
  <c r="O433" i="2"/>
  <c r="O798" i="2"/>
  <c r="O546" i="2"/>
  <c r="O553" i="2"/>
  <c r="O376" i="2"/>
  <c r="O323" i="2"/>
  <c r="O91" i="2"/>
  <c r="O334" i="2"/>
  <c r="O48" i="2"/>
  <c r="O109" i="2"/>
  <c r="O437" i="2"/>
  <c r="O153" i="2"/>
  <c r="O209" i="2"/>
  <c r="O169" i="2"/>
  <c r="O794" i="2"/>
  <c r="O803" i="2"/>
  <c r="O1107" i="2"/>
  <c r="O340" i="2" s="1"/>
  <c r="O391" i="2"/>
  <c r="O324" i="2"/>
  <c r="O312" i="2"/>
  <c r="O606" i="2"/>
  <c r="O615" i="2"/>
  <c r="O96" i="2"/>
  <c r="O198" i="2"/>
  <c r="O201" i="2"/>
  <c r="O258" i="2"/>
  <c r="O152" i="2"/>
  <c r="O487" i="2"/>
  <c r="O1116" i="2"/>
  <c r="O1100" i="2"/>
  <c r="O526" i="2" s="1"/>
  <c r="O666" i="2"/>
  <c r="O375" i="2"/>
  <c r="O331" i="2"/>
  <c r="O499" i="2"/>
  <c r="O483" i="2"/>
  <c r="O315" i="2"/>
  <c r="O614" i="2"/>
  <c r="O255" i="2"/>
  <c r="O210" i="2"/>
  <c r="O106" i="2"/>
  <c r="O202" i="2"/>
  <c r="N491" i="2"/>
  <c r="N528" i="2"/>
  <c r="N830" i="2"/>
  <c r="N549" i="2"/>
  <c r="N154" i="2"/>
  <c r="N1118" i="2"/>
  <c r="I29" i="25"/>
  <c r="N320" i="2"/>
  <c r="H29" i="25"/>
  <c r="N611" i="2"/>
  <c r="N211" i="2"/>
  <c r="N616" i="2"/>
  <c r="N34" i="2"/>
  <c r="N382" i="2"/>
  <c r="I954" i="2"/>
  <c r="I837" i="2"/>
  <c r="N496" i="2"/>
  <c r="D32" i="25"/>
  <c r="E32" i="25" s="1"/>
  <c r="K32" i="25" s="1"/>
  <c r="L32" i="25" s="1"/>
  <c r="N92" i="2"/>
  <c r="N377" i="2"/>
  <c r="N866" i="2"/>
  <c r="N880" i="2"/>
  <c r="F274" i="2" l="1"/>
  <c r="O274" i="2" s="1"/>
  <c r="Y112" i="1"/>
  <c r="Y116" i="1" s="1"/>
  <c r="Y144" i="1" s="1"/>
  <c r="F148" i="2" s="1"/>
  <c r="O148" i="2" s="1"/>
  <c r="F229" i="2"/>
  <c r="N229" i="2" s="1"/>
  <c r="K259" i="2"/>
  <c r="AC653" i="1"/>
  <c r="X330" i="1"/>
  <c r="I259" i="2"/>
  <c r="X597" i="1"/>
  <c r="AJ597" i="1"/>
  <c r="O259" i="2"/>
  <c r="O262" i="2"/>
  <c r="L259" i="2"/>
  <c r="H259" i="2"/>
  <c r="J262" i="2"/>
  <c r="I262" i="2"/>
  <c r="G259" i="2"/>
  <c r="I328" i="1"/>
  <c r="I597" i="1" s="1"/>
  <c r="K262" i="2"/>
  <c r="M121" i="1"/>
  <c r="J259" i="2"/>
  <c r="M262" i="2"/>
  <c r="H262" i="2"/>
  <c r="F242" i="2"/>
  <c r="N242" i="2" s="1"/>
  <c r="W112" i="1"/>
  <c r="W116" i="1" s="1"/>
  <c r="W144" i="1" s="1"/>
  <c r="F146" i="2" s="1"/>
  <c r="O146" i="2" s="1"/>
  <c r="M538" i="1"/>
  <c r="F217" i="2"/>
  <c r="O217" i="2" s="1"/>
  <c r="K597" i="1"/>
  <c r="T651" i="1"/>
  <c r="I328" i="2"/>
  <c r="I29" i="16" s="1"/>
  <c r="L328" i="2"/>
  <c r="I29" i="20" s="1"/>
  <c r="J328" i="2"/>
  <c r="I29" i="17" s="1"/>
  <c r="AJ538" i="1"/>
  <c r="F286" i="2"/>
  <c r="O286" i="2" s="1"/>
  <c r="AJ121" i="1"/>
  <c r="AJ653" i="1"/>
  <c r="F132" i="2"/>
  <c r="O328" i="2"/>
  <c r="G268" i="2"/>
  <c r="M328" i="2"/>
  <c r="I29" i="21" s="1"/>
  <c r="H328" i="2"/>
  <c r="I29" i="15" s="1"/>
  <c r="K457" i="2"/>
  <c r="J457" i="2"/>
  <c r="H457" i="2"/>
  <c r="L457" i="2"/>
  <c r="G457" i="2"/>
  <c r="I457" i="2"/>
  <c r="M457" i="2"/>
  <c r="AJ651" i="1"/>
  <c r="AJ112" i="1"/>
  <c r="AJ116" i="1" s="1"/>
  <c r="AJ144" i="1" s="1"/>
  <c r="F172" i="2" s="1"/>
  <c r="G328" i="2"/>
  <c r="I29" i="14" s="1"/>
  <c r="K328" i="2"/>
  <c r="I29" i="19" s="1"/>
  <c r="L229" i="2"/>
  <c r="I229" i="2"/>
  <c r="K229" i="2"/>
  <c r="M229" i="2"/>
  <c r="G229" i="2"/>
  <c r="J229" i="2"/>
  <c r="H229" i="2"/>
  <c r="L538" i="1"/>
  <c r="L121" i="1"/>
  <c r="F241" i="2"/>
  <c r="O241" i="2" s="1"/>
  <c r="L653" i="1"/>
  <c r="F184" i="2"/>
  <c r="L597" i="1"/>
  <c r="L330" i="1"/>
  <c r="H154" i="2"/>
  <c r="AB326" i="1"/>
  <c r="G412" i="2"/>
  <c r="I412" i="2"/>
  <c r="J412" i="2"/>
  <c r="K412" i="2"/>
  <c r="L412" i="2"/>
  <c r="H412" i="2"/>
  <c r="M412" i="2"/>
  <c r="M112" i="1"/>
  <c r="M116" i="1" s="1"/>
  <c r="M144" i="1" s="1"/>
  <c r="F128" i="2" s="1"/>
  <c r="M651" i="1"/>
  <c r="O204" i="2"/>
  <c r="O206" i="2" s="1"/>
  <c r="O527" i="2"/>
  <c r="O220" i="2"/>
  <c r="K413" i="2"/>
  <c r="G413" i="2"/>
  <c r="I413" i="2"/>
  <c r="H413" i="2"/>
  <c r="L413" i="2"/>
  <c r="J413" i="2"/>
  <c r="M413" i="2"/>
  <c r="H185" i="2"/>
  <c r="K185" i="2"/>
  <c r="L185" i="2"/>
  <c r="J185" i="2"/>
  <c r="I185" i="2"/>
  <c r="G185" i="2"/>
  <c r="M185" i="2"/>
  <c r="K240" i="2"/>
  <c r="G240" i="2"/>
  <c r="I240" i="2"/>
  <c r="L240" i="2"/>
  <c r="J240" i="2"/>
  <c r="H240" i="2"/>
  <c r="M240" i="2"/>
  <c r="K651" i="1"/>
  <c r="K112" i="1"/>
  <c r="K116" i="1" s="1"/>
  <c r="K144" i="1" s="1"/>
  <c r="F126" i="2" s="1"/>
  <c r="K183" i="2"/>
  <c r="F28" i="19" s="1"/>
  <c r="H183" i="2"/>
  <c r="F28" i="15" s="1"/>
  <c r="G183" i="2"/>
  <c r="F28" i="14" s="1"/>
  <c r="J183" i="2"/>
  <c r="F28" i="17" s="1"/>
  <c r="L183" i="2"/>
  <c r="F28" i="20" s="1"/>
  <c r="I183" i="2"/>
  <c r="F28" i="16" s="1"/>
  <c r="M183" i="2"/>
  <c r="F28" i="21" s="1"/>
  <c r="K411" i="2"/>
  <c r="H411" i="2"/>
  <c r="L411" i="2"/>
  <c r="J411" i="2"/>
  <c r="I411" i="2"/>
  <c r="G411" i="2"/>
  <c r="M411" i="2"/>
  <c r="K242" i="2"/>
  <c r="H242" i="2"/>
  <c r="G242" i="2"/>
  <c r="M242" i="2"/>
  <c r="F345" i="2"/>
  <c r="K837" i="2"/>
  <c r="D35" i="19" s="1"/>
  <c r="K954" i="2"/>
  <c r="F181" i="2"/>
  <c r="G954" i="2"/>
  <c r="G837" i="2"/>
  <c r="D35" i="14" s="1"/>
  <c r="H837" i="2"/>
  <c r="D35" i="15" s="1"/>
  <c r="H954" i="2"/>
  <c r="J837" i="2"/>
  <c r="D35" i="17" s="1"/>
  <c r="J954" i="2"/>
  <c r="G148" i="2"/>
  <c r="J148" i="2"/>
  <c r="H148" i="2"/>
  <c r="I148" i="2"/>
  <c r="K148" i="2"/>
  <c r="L148" i="2"/>
  <c r="M148" i="2"/>
  <c r="N148" i="2"/>
  <c r="G138" i="2"/>
  <c r="H138" i="2"/>
  <c r="I138" i="2"/>
  <c r="J138" i="2"/>
  <c r="K138" i="2"/>
  <c r="L138" i="2"/>
  <c r="M138" i="2"/>
  <c r="N138" i="2"/>
  <c r="G432" i="2"/>
  <c r="H432" i="2"/>
  <c r="H30" i="15" s="1"/>
  <c r="I432" i="2"/>
  <c r="J432" i="2"/>
  <c r="J434" i="2" s="1"/>
  <c r="K432" i="2"/>
  <c r="L432" i="2"/>
  <c r="H30" i="20" s="1"/>
  <c r="M432" i="2"/>
  <c r="N432" i="2"/>
  <c r="H303" i="1"/>
  <c r="H654" i="1" s="1"/>
  <c r="AC112" i="1"/>
  <c r="AC116" i="1" s="1"/>
  <c r="AC144" i="1" s="1"/>
  <c r="F160" i="2" s="1"/>
  <c r="AC651" i="1"/>
  <c r="G277" i="2"/>
  <c r="I277" i="2"/>
  <c r="H277" i="2"/>
  <c r="J277" i="2"/>
  <c r="K277" i="2"/>
  <c r="L277" i="2"/>
  <c r="M277" i="2"/>
  <c r="L154" i="2"/>
  <c r="I154" i="2"/>
  <c r="P538" i="1"/>
  <c r="P121" i="1"/>
  <c r="F247" i="2"/>
  <c r="F249" i="2" s="1"/>
  <c r="P653" i="1"/>
  <c r="M268" i="2"/>
  <c r="I268" i="2"/>
  <c r="AD112" i="1"/>
  <c r="AD116" i="1" s="1"/>
  <c r="AD144" i="1" s="1"/>
  <c r="F163" i="2" s="1"/>
  <c r="AD651" i="1"/>
  <c r="G434" i="2"/>
  <c r="H326" i="1"/>
  <c r="AK326" i="1" s="1"/>
  <c r="AL326" i="1" s="1"/>
  <c r="AK312" i="1"/>
  <c r="AL312" i="1" s="1"/>
  <c r="J100" i="2"/>
  <c r="H100" i="2"/>
  <c r="I100" i="2"/>
  <c r="K100" i="2"/>
  <c r="L100" i="2"/>
  <c r="G100" i="2"/>
  <c r="M100" i="2"/>
  <c r="N100" i="2"/>
  <c r="AK524" i="1"/>
  <c r="AL524" i="1" s="1"/>
  <c r="AK527" i="1"/>
  <c r="AL527" i="1" s="1"/>
  <c r="H30" i="21"/>
  <c r="G145" i="2"/>
  <c r="H145" i="2"/>
  <c r="I145" i="2"/>
  <c r="J145" i="2"/>
  <c r="K145" i="2"/>
  <c r="L145" i="2"/>
  <c r="M145" i="2"/>
  <c r="N145" i="2"/>
  <c r="G252" i="2"/>
  <c r="I252" i="2"/>
  <c r="H252" i="2"/>
  <c r="J252" i="2"/>
  <c r="K252" i="2"/>
  <c r="L252" i="2"/>
  <c r="M252" i="2"/>
  <c r="N252" i="2"/>
  <c r="K154" i="2"/>
  <c r="X112" i="1"/>
  <c r="X116" i="1" s="1"/>
  <c r="X144" i="1" s="1"/>
  <c r="F147" i="2" s="1"/>
  <c r="F149" i="2" s="1"/>
  <c r="X651" i="1"/>
  <c r="L268" i="2"/>
  <c r="H268" i="2"/>
  <c r="T1170" i="2"/>
  <c r="U1170" i="2" s="1"/>
  <c r="V1170" i="2" s="1"/>
  <c r="F1172" i="2"/>
  <c r="M434" i="2"/>
  <c r="I434" i="2"/>
  <c r="F442" i="2"/>
  <c r="AB595" i="1"/>
  <c r="AB534" i="1"/>
  <c r="AB536" i="1" s="1"/>
  <c r="AK591" i="1"/>
  <c r="AL591" i="1" s="1"/>
  <c r="F585" i="2"/>
  <c r="F591" i="2" s="1"/>
  <c r="F636" i="2" s="1"/>
  <c r="AK319" i="1"/>
  <c r="AL319" i="1" s="1"/>
  <c r="H30" i="16"/>
  <c r="G166" i="2"/>
  <c r="J14" i="14" s="1"/>
  <c r="H166" i="2"/>
  <c r="J14" i="15" s="1"/>
  <c r="I166" i="2"/>
  <c r="J14" i="16" s="1"/>
  <c r="J166" i="2"/>
  <c r="J14" i="17" s="1"/>
  <c r="K166" i="2"/>
  <c r="J14" i="19" s="1"/>
  <c r="L166" i="2"/>
  <c r="J14" i="20" s="1"/>
  <c r="M166" i="2"/>
  <c r="J14" i="21" s="1"/>
  <c r="N166" i="2"/>
  <c r="J14" i="25" s="1"/>
  <c r="AB273" i="1"/>
  <c r="AK256" i="1"/>
  <c r="AL256" i="1" s="1"/>
  <c r="G146" i="2"/>
  <c r="J146" i="2"/>
  <c r="H146" i="2"/>
  <c r="K146" i="2"/>
  <c r="L146" i="2"/>
  <c r="I146" i="2"/>
  <c r="M146" i="2"/>
  <c r="N146" i="2"/>
  <c r="I217" i="2"/>
  <c r="H217" i="2"/>
  <c r="J217" i="2"/>
  <c r="G217" i="2"/>
  <c r="K217" i="2"/>
  <c r="L217" i="2"/>
  <c r="M217" i="2"/>
  <c r="N217" i="2"/>
  <c r="J154" i="2"/>
  <c r="G154" i="2"/>
  <c r="K268" i="2"/>
  <c r="F1260" i="2"/>
  <c r="G144" i="2"/>
  <c r="H144" i="2"/>
  <c r="I144" i="2"/>
  <c r="J144" i="2"/>
  <c r="K144" i="2"/>
  <c r="L144" i="2"/>
  <c r="M144" i="2"/>
  <c r="N144" i="2"/>
  <c r="G141" i="2"/>
  <c r="H141" i="2"/>
  <c r="I141" i="2"/>
  <c r="J141" i="2"/>
  <c r="K141" i="2"/>
  <c r="L141" i="2"/>
  <c r="M141" i="2"/>
  <c r="N141" i="2"/>
  <c r="I220" i="2"/>
  <c r="G220" i="2"/>
  <c r="H220" i="2"/>
  <c r="J220" i="2"/>
  <c r="K220" i="2"/>
  <c r="L220" i="2"/>
  <c r="M220" i="2"/>
  <c r="F190" i="2"/>
  <c r="P597" i="1"/>
  <c r="P330" i="1"/>
  <c r="H534" i="1"/>
  <c r="AK520" i="1"/>
  <c r="AL520" i="1" s="1"/>
  <c r="J499" i="2"/>
  <c r="H499" i="2"/>
  <c r="I499" i="2"/>
  <c r="K499" i="2"/>
  <c r="L499" i="2"/>
  <c r="G499" i="2"/>
  <c r="M499" i="2"/>
  <c r="N499" i="2"/>
  <c r="F465" i="2"/>
  <c r="F471" i="2" s="1"/>
  <c r="F516" i="2" s="1"/>
  <c r="AK587" i="1"/>
  <c r="AL587" i="1" s="1"/>
  <c r="F408" i="2"/>
  <c r="F414" i="2" s="1"/>
  <c r="AK585" i="1"/>
  <c r="AL585" i="1" s="1"/>
  <c r="H595" i="1"/>
  <c r="H30" i="19"/>
  <c r="H30" i="14"/>
  <c r="I274" i="2"/>
  <c r="H274" i="2"/>
  <c r="J274" i="2"/>
  <c r="K274" i="2"/>
  <c r="G274" i="2"/>
  <c r="L274" i="2"/>
  <c r="M274" i="2"/>
  <c r="N274" i="2"/>
  <c r="I445" i="2"/>
  <c r="H445" i="2"/>
  <c r="J445" i="2"/>
  <c r="K445" i="2"/>
  <c r="G445" i="2"/>
  <c r="L445" i="2"/>
  <c r="M445" i="2"/>
  <c r="N445" i="2"/>
  <c r="M154" i="2"/>
  <c r="G204" i="2"/>
  <c r="H28" i="14" s="1"/>
  <c r="H204" i="2"/>
  <c r="H206" i="2" s="1"/>
  <c r="I204" i="2"/>
  <c r="H28" i="16" s="1"/>
  <c r="J204" i="2"/>
  <c r="H28" i="17" s="1"/>
  <c r="K204" i="2"/>
  <c r="H28" i="19" s="1"/>
  <c r="L204" i="2"/>
  <c r="L206" i="2" s="1"/>
  <c r="M204" i="2"/>
  <c r="M206" i="2" s="1"/>
  <c r="N204" i="2"/>
  <c r="J268" i="2"/>
  <c r="F1256" i="2"/>
  <c r="K434" i="2"/>
  <c r="F434" i="2"/>
  <c r="I121" i="1"/>
  <c r="I653" i="1"/>
  <c r="F238" i="2"/>
  <c r="I538" i="1"/>
  <c r="J619" i="2"/>
  <c r="I619" i="2"/>
  <c r="K619" i="2"/>
  <c r="H619" i="2"/>
  <c r="L619" i="2"/>
  <c r="G619" i="2"/>
  <c r="M619" i="2"/>
  <c r="N619" i="2"/>
  <c r="AK593" i="1"/>
  <c r="AL593" i="1" s="1"/>
  <c r="AK316" i="1"/>
  <c r="AL316" i="1" s="1"/>
  <c r="F66" i="2"/>
  <c r="F72" i="2" s="1"/>
  <c r="F117" i="2" s="1"/>
  <c r="AK109" i="1"/>
  <c r="AL109" i="1" s="1"/>
  <c r="X538" i="1"/>
  <c r="X653" i="1"/>
  <c r="X121" i="1"/>
  <c r="F261" i="2"/>
  <c r="P261" i="2" s="1"/>
  <c r="N1184" i="2"/>
  <c r="N837" i="2" s="1"/>
  <c r="D35" i="25" s="1"/>
  <c r="O508" i="2"/>
  <c r="J28" i="25"/>
  <c r="O514" i="2"/>
  <c r="O337" i="2"/>
  <c r="O631" i="2"/>
  <c r="O226" i="2"/>
  <c r="O283" i="2"/>
  <c r="O394" i="2"/>
  <c r="O280" i="2"/>
  <c r="O128" i="2"/>
  <c r="O528" i="2"/>
  <c r="O454" i="2"/>
  <c r="O451" i="2"/>
  <c r="O223" i="2"/>
  <c r="O569" i="2"/>
  <c r="O154" i="2"/>
  <c r="O298" i="2"/>
  <c r="O616" i="2"/>
  <c r="O469" i="2"/>
  <c r="O566" i="2"/>
  <c r="O397" i="2"/>
  <c r="O511" i="2"/>
  <c r="O69" i="2"/>
  <c r="O320" i="2"/>
  <c r="H29" i="26"/>
  <c r="O496" i="2"/>
  <c r="O13" i="2"/>
  <c r="O126" i="2"/>
  <c r="F14" i="26" s="1"/>
  <c r="O343" i="2"/>
  <c r="O184" i="2"/>
  <c r="O413" i="2"/>
  <c r="M954" i="2"/>
  <c r="M985" i="2" s="1"/>
  <c r="O572" i="2"/>
  <c r="O590" i="2"/>
  <c r="O411" i="2"/>
  <c r="O457" i="2"/>
  <c r="O400" i="2"/>
  <c r="O70" i="2"/>
  <c r="O468" i="2"/>
  <c r="O229" i="2"/>
  <c r="O356" i="2"/>
  <c r="O12" i="2"/>
  <c r="O355" i="2"/>
  <c r="O185" i="2"/>
  <c r="O240" i="2"/>
  <c r="O382" i="2"/>
  <c r="I965" i="2"/>
  <c r="I985" i="2"/>
  <c r="H28" i="26"/>
  <c r="O611" i="2"/>
  <c r="O354" i="2"/>
  <c r="O211" i="2"/>
  <c r="O325" i="2"/>
  <c r="O92" i="2"/>
  <c r="O434" i="2"/>
  <c r="O268" i="2"/>
  <c r="O412" i="2"/>
  <c r="D33" i="26"/>
  <c r="F33" i="26" s="1"/>
  <c r="K33" i="26" s="1"/>
  <c r="L33" i="26" s="1"/>
  <c r="O1118" i="2"/>
  <c r="J14" i="26"/>
  <c r="O242" i="2"/>
  <c r="O491" i="2"/>
  <c r="L985" i="2"/>
  <c r="L965" i="2"/>
  <c r="O628" i="2"/>
  <c r="O588" i="2"/>
  <c r="O97" i="2"/>
  <c r="O299" i="2"/>
  <c r="I29" i="26"/>
  <c r="H30" i="26"/>
  <c r="D35" i="16"/>
  <c r="O470" i="2"/>
  <c r="O654" i="2"/>
  <c r="O39" i="2"/>
  <c r="O589" i="2"/>
  <c r="O377" i="2"/>
  <c r="P806" i="2"/>
  <c r="P652" i="2"/>
  <c r="P658" i="2"/>
  <c r="P829" i="2"/>
  <c r="P663" i="2"/>
  <c r="P794" i="2"/>
  <c r="P805" i="2"/>
  <c r="P831" i="2" s="1"/>
  <c r="P557" i="2"/>
  <c r="P653" i="2"/>
  <c r="P545" i="2"/>
  <c r="P1025" i="2"/>
  <c r="P662" i="2"/>
  <c r="P547" i="2"/>
  <c r="P366" i="2"/>
  <c r="P372" i="2"/>
  <c r="P369" i="2"/>
  <c r="P385" i="2"/>
  <c r="P619" i="2"/>
  <c r="P51" i="2"/>
  <c r="P103" i="2"/>
  <c r="P502" i="2"/>
  <c r="P29" i="2"/>
  <c r="P203" i="2"/>
  <c r="P665" i="2"/>
  <c r="P1208" i="2"/>
  <c r="P666" i="2"/>
  <c r="P664" i="2"/>
  <c r="P651" i="2"/>
  <c r="P838" i="2" s="1"/>
  <c r="P825" i="2"/>
  <c r="P795" i="2"/>
  <c r="P541" i="2"/>
  <c r="P563" i="2"/>
  <c r="P391" i="2"/>
  <c r="P42" i="2"/>
  <c r="P328" i="2"/>
  <c r="P324" i="2"/>
  <c r="P499" i="2"/>
  <c r="P54" i="2"/>
  <c r="P112" i="2"/>
  <c r="P431" i="2"/>
  <c r="P606" i="2"/>
  <c r="P267" i="2"/>
  <c r="P315" i="2"/>
  <c r="P615" i="2"/>
  <c r="P483" i="2"/>
  <c r="P426" i="2"/>
  <c r="P423" i="2"/>
  <c r="P490" i="2"/>
  <c r="P1072" i="2"/>
  <c r="P1084" i="2" s="1"/>
  <c r="P552" i="2"/>
  <c r="P828" i="2"/>
  <c r="P1100" i="2"/>
  <c r="P298" i="2" s="1"/>
  <c r="P826" i="2"/>
  <c r="P1116" i="2"/>
  <c r="P798" i="2"/>
  <c r="P548" i="2"/>
  <c r="P374" i="2"/>
  <c r="P376" i="2"/>
  <c r="P31" i="2"/>
  <c r="P100" i="2"/>
  <c r="P622" i="2"/>
  <c r="P608" i="2"/>
  <c r="P445" i="2"/>
  <c r="P32" i="2"/>
  <c r="P91" i="2"/>
  <c r="P38" i="2"/>
  <c r="P318" i="2"/>
  <c r="P373" i="2"/>
  <c r="P57" i="2"/>
  <c r="P323" i="2"/>
  <c r="P614" i="2"/>
  <c r="P442" i="2"/>
  <c r="P334" i="2"/>
  <c r="P255" i="2"/>
  <c r="P195" i="2"/>
  <c r="P209" i="2"/>
  <c r="P258" i="2"/>
  <c r="P30" i="2"/>
  <c r="P144" i="2"/>
  <c r="P277" i="2"/>
  <c r="P201" i="2"/>
  <c r="P625" i="2"/>
  <c r="P432" i="2"/>
  <c r="P88" i="2"/>
  <c r="P607" i="2"/>
  <c r="P657" i="2"/>
  <c r="P1103" i="2"/>
  <c r="P546" i="2"/>
  <c r="P1108" i="2"/>
  <c r="P634" i="2" s="1"/>
  <c r="P553" i="2"/>
  <c r="P380" i="2"/>
  <c r="P45" i="2"/>
  <c r="P26" i="2"/>
  <c r="P480" i="2"/>
  <c r="P198" i="2"/>
  <c r="P260" i="2"/>
  <c r="P23" i="2"/>
  <c r="P95" i="2"/>
  <c r="P319" i="2"/>
  <c r="P437" i="2"/>
  <c r="P204" i="2"/>
  <c r="P152" i="2"/>
  <c r="P433" i="2"/>
  <c r="P220" i="2"/>
  <c r="P609" i="2"/>
  <c r="P505" i="2"/>
  <c r="P217" i="2"/>
  <c r="P172" i="2"/>
  <c r="P202" i="2"/>
  <c r="P1172" i="2"/>
  <c r="P1173" i="2" s="1"/>
  <c r="P804" i="2"/>
  <c r="P830" i="2" s="1"/>
  <c r="P799" i="2"/>
  <c r="P538" i="2"/>
  <c r="P1107" i="2"/>
  <c r="P397" i="2" s="1"/>
  <c r="P796" i="2"/>
  <c r="P388" i="2"/>
  <c r="P331" i="2"/>
  <c r="P317" i="2"/>
  <c r="P109" i="2"/>
  <c r="P603" i="2"/>
  <c r="P87" i="2"/>
  <c r="P84" i="2"/>
  <c r="P489" i="2"/>
  <c r="P495" i="2"/>
  <c r="P266" i="2"/>
  <c r="P153" i="2"/>
  <c r="P429" i="2"/>
  <c r="P147" i="2"/>
  <c r="P138" i="2"/>
  <c r="P210" i="2"/>
  <c r="P252" i="2"/>
  <c r="P160" i="2"/>
  <c r="P259" i="2"/>
  <c r="P803" i="2"/>
  <c r="P1117" i="2"/>
  <c r="P659" i="2"/>
  <c r="Q1" i="2"/>
  <c r="P544" i="2"/>
  <c r="P381" i="2"/>
  <c r="P89" i="2"/>
  <c r="P488" i="2"/>
  <c r="P81" i="2"/>
  <c r="P96" i="2"/>
  <c r="P48" i="2"/>
  <c r="P115" i="2"/>
  <c r="P146" i="2"/>
  <c r="P141" i="2"/>
  <c r="P316" i="2"/>
  <c r="P448" i="2"/>
  <c r="P163" i="2"/>
  <c r="P610" i="2"/>
  <c r="P169" i="2"/>
  <c r="P430" i="2"/>
  <c r="P656" i="2"/>
  <c r="P667" i="2"/>
  <c r="P1115" i="2"/>
  <c r="P797" i="2"/>
  <c r="P560" i="2"/>
  <c r="P375" i="2"/>
  <c r="P312" i="2"/>
  <c r="P309" i="2"/>
  <c r="P33" i="2"/>
  <c r="P600" i="2"/>
  <c r="P494" i="2"/>
  <c r="P486" i="2"/>
  <c r="P37" i="2"/>
  <c r="P106" i="2"/>
  <c r="P166" i="2"/>
  <c r="P148" i="2"/>
  <c r="P438" i="2"/>
  <c r="P205" i="2"/>
  <c r="P274" i="2"/>
  <c r="P90" i="2"/>
  <c r="P262" i="2"/>
  <c r="P487" i="2"/>
  <c r="P145" i="2"/>
  <c r="P240" i="2"/>
  <c r="P355" i="2"/>
  <c r="P185" i="2"/>
  <c r="P128" i="2"/>
  <c r="P297" i="2"/>
  <c r="P69" i="2"/>
  <c r="P411" i="2"/>
  <c r="P356" i="2"/>
  <c r="P412" i="2"/>
  <c r="P184" i="2"/>
  <c r="P590" i="2"/>
  <c r="P126" i="2"/>
  <c r="P413" i="2"/>
  <c r="P469" i="2"/>
  <c r="P241" i="2"/>
  <c r="P526" i="2"/>
  <c r="O866" i="2"/>
  <c r="O880" i="2"/>
  <c r="O34" i="2"/>
  <c r="O1184" i="2" s="1"/>
  <c r="O297" i="2"/>
  <c r="O439" i="2"/>
  <c r="O71" i="2"/>
  <c r="O11" i="2"/>
  <c r="O554" i="2"/>
  <c r="O183" i="2"/>
  <c r="O549" i="2"/>
  <c r="F459" i="2" l="1"/>
  <c r="F675" i="2" s="1"/>
  <c r="F817" i="2" s="1"/>
  <c r="I330" i="1"/>
  <c r="I242" i="2"/>
  <c r="P242" i="2"/>
  <c r="P354" i="2"/>
  <c r="P468" i="2"/>
  <c r="P70" i="2"/>
  <c r="P299" i="2"/>
  <c r="P588" i="2"/>
  <c r="M965" i="2"/>
  <c r="H434" i="2"/>
  <c r="L242" i="2"/>
  <c r="J242" i="2"/>
  <c r="H30" i="17"/>
  <c r="AK595" i="1"/>
  <c r="AL595" i="1" s="1"/>
  <c r="L434" i="2"/>
  <c r="L286" i="2"/>
  <c r="G286" i="2"/>
  <c r="K286" i="2"/>
  <c r="M286" i="2"/>
  <c r="H286" i="2"/>
  <c r="I286" i="2"/>
  <c r="J286" i="2"/>
  <c r="N286" i="2"/>
  <c r="N172" i="2"/>
  <c r="H172" i="2"/>
  <c r="L172" i="2"/>
  <c r="O172" i="2"/>
  <c r="J172" i="2"/>
  <c r="I172" i="2"/>
  <c r="M172" i="2"/>
  <c r="G172" i="2"/>
  <c r="K172" i="2"/>
  <c r="L651" i="1"/>
  <c r="L112" i="1"/>
  <c r="L116" i="1" s="1"/>
  <c r="L144" i="1" s="1"/>
  <c r="F127" i="2" s="1"/>
  <c r="L241" i="2"/>
  <c r="G241" i="2"/>
  <c r="K241" i="2"/>
  <c r="I241" i="2"/>
  <c r="M241" i="2"/>
  <c r="H241" i="2"/>
  <c r="J241" i="2"/>
  <c r="N241" i="2"/>
  <c r="G184" i="2"/>
  <c r="K184" i="2"/>
  <c r="M184" i="2"/>
  <c r="I184" i="2"/>
  <c r="L184" i="2"/>
  <c r="H184" i="2"/>
  <c r="J184" i="2"/>
  <c r="N184" i="2"/>
  <c r="J28" i="26"/>
  <c r="H28" i="15"/>
  <c r="F815" i="2"/>
  <c r="F673" i="2"/>
  <c r="J126" i="2"/>
  <c r="L126" i="2"/>
  <c r="K126" i="2"/>
  <c r="H126" i="2"/>
  <c r="G126" i="2"/>
  <c r="I126" i="2"/>
  <c r="M126" i="2"/>
  <c r="F1259" i="2"/>
  <c r="N126" i="2"/>
  <c r="F14" i="25" s="1"/>
  <c r="L128" i="2"/>
  <c r="J128" i="2"/>
  <c r="I128" i="2"/>
  <c r="M128" i="2"/>
  <c r="H128" i="2"/>
  <c r="G128" i="2"/>
  <c r="K128" i="2"/>
  <c r="N128" i="2"/>
  <c r="F263" i="2"/>
  <c r="G261" i="2"/>
  <c r="G263" i="2" s="1"/>
  <c r="H261" i="2"/>
  <c r="H263" i="2" s="1"/>
  <c r="I261" i="2"/>
  <c r="I263" i="2" s="1"/>
  <c r="J261" i="2"/>
  <c r="J263" i="2" s="1"/>
  <c r="K261" i="2"/>
  <c r="K263" i="2" s="1"/>
  <c r="L261" i="2"/>
  <c r="L263" i="2" s="1"/>
  <c r="M261" i="2"/>
  <c r="M263" i="2" s="1"/>
  <c r="N261" i="2"/>
  <c r="N263" i="2" s="1"/>
  <c r="O261" i="2"/>
  <c r="O263" i="2" s="1"/>
  <c r="H28" i="21"/>
  <c r="AB275" i="1"/>
  <c r="AK275" i="1" s="1"/>
  <c r="AL275" i="1" s="1"/>
  <c r="AB277" i="1"/>
  <c r="AK273" i="1"/>
  <c r="AL273" i="1" s="1"/>
  <c r="F905" i="2"/>
  <c r="F706" i="2"/>
  <c r="J442" i="2"/>
  <c r="I30" i="17" s="1"/>
  <c r="H442" i="2"/>
  <c r="I30" i="15" s="1"/>
  <c r="I442" i="2"/>
  <c r="I30" i="16" s="1"/>
  <c r="K442" i="2"/>
  <c r="I30" i="19" s="1"/>
  <c r="L442" i="2"/>
  <c r="I30" i="20" s="1"/>
  <c r="G442" i="2"/>
  <c r="I30" i="14" s="1"/>
  <c r="M442" i="2"/>
  <c r="I30" i="21" s="1"/>
  <c r="N442" i="2"/>
  <c r="I30" i="25" s="1"/>
  <c r="O442" i="2"/>
  <c r="I30" i="26" s="1"/>
  <c r="J206" i="2"/>
  <c r="H28" i="20"/>
  <c r="AK534" i="1"/>
  <c r="AL534" i="1" s="1"/>
  <c r="H536" i="1"/>
  <c r="F192" i="2"/>
  <c r="G163" i="2"/>
  <c r="H163" i="2"/>
  <c r="I163" i="2"/>
  <c r="J163" i="2"/>
  <c r="K163" i="2"/>
  <c r="L163" i="2"/>
  <c r="M163" i="2"/>
  <c r="N163" i="2"/>
  <c r="O163" i="2"/>
  <c r="I160" i="2"/>
  <c r="H160" i="2"/>
  <c r="J160" i="2"/>
  <c r="G160" i="2"/>
  <c r="K160" i="2"/>
  <c r="L160" i="2"/>
  <c r="M160" i="2"/>
  <c r="N160" i="2"/>
  <c r="O160" i="2"/>
  <c r="H30" i="25"/>
  <c r="N434" i="2"/>
  <c r="G985" i="2"/>
  <c r="G965" i="2"/>
  <c r="P508" i="2"/>
  <c r="G206" i="2"/>
  <c r="AB121" i="1"/>
  <c r="AB653" i="1"/>
  <c r="F271" i="2"/>
  <c r="AB538" i="1"/>
  <c r="F1173" i="2"/>
  <c r="H1172" i="2"/>
  <c r="H1173" i="2" s="1"/>
  <c r="G1172" i="2"/>
  <c r="G1173" i="2" s="1"/>
  <c r="I1172" i="2"/>
  <c r="I1173" i="2" s="1"/>
  <c r="J1172" i="2"/>
  <c r="J1173" i="2" s="1"/>
  <c r="J1174" i="2" s="1"/>
  <c r="K1172" i="2"/>
  <c r="K1173" i="2" s="1"/>
  <c r="L1172" i="2"/>
  <c r="L1173" i="2" s="1"/>
  <c r="M1172" i="2"/>
  <c r="M1173" i="2" s="1"/>
  <c r="N1172" i="2"/>
  <c r="N1173" i="2" s="1"/>
  <c r="N1174" i="2" s="1"/>
  <c r="O1172" i="2"/>
  <c r="O1173" i="2" s="1"/>
  <c r="I206" i="2"/>
  <c r="H965" i="2"/>
  <c r="H985" i="2"/>
  <c r="F1163" i="2"/>
  <c r="K965" i="2"/>
  <c r="K985" i="2"/>
  <c r="H28" i="25"/>
  <c r="N206" i="2"/>
  <c r="F676" i="2"/>
  <c r="F818" i="2"/>
  <c r="K206" i="2"/>
  <c r="P112" i="1"/>
  <c r="P116" i="1" s="1"/>
  <c r="P144" i="1" s="1"/>
  <c r="P651" i="1"/>
  <c r="G147" i="2"/>
  <c r="G1260" i="2" s="1"/>
  <c r="G1286" i="2" s="1"/>
  <c r="H147" i="2"/>
  <c r="H1260" i="2" s="1"/>
  <c r="H1286" i="2" s="1"/>
  <c r="I147" i="2"/>
  <c r="I149" i="2" s="1"/>
  <c r="J147" i="2"/>
  <c r="H14" i="17" s="1"/>
  <c r="K147" i="2"/>
  <c r="H14" i="19" s="1"/>
  <c r="L147" i="2"/>
  <c r="L149" i="2" s="1"/>
  <c r="M147" i="2"/>
  <c r="M149" i="2" s="1"/>
  <c r="N147" i="2"/>
  <c r="H14" i="25" s="1"/>
  <c r="O147" i="2"/>
  <c r="H328" i="1"/>
  <c r="N1260" i="2"/>
  <c r="N1286" i="2" s="1"/>
  <c r="J965" i="2"/>
  <c r="J985" i="2"/>
  <c r="I112" i="1"/>
  <c r="I116" i="1" s="1"/>
  <c r="I144" i="1" s="1"/>
  <c r="F124" i="2" s="1"/>
  <c r="F1254" i="2" s="1"/>
  <c r="I651" i="1"/>
  <c r="P457" i="2"/>
  <c r="P572" i="2"/>
  <c r="P286" i="2"/>
  <c r="P400" i="2"/>
  <c r="P451" i="2"/>
  <c r="P569" i="2"/>
  <c r="P71" i="2"/>
  <c r="P654" i="2"/>
  <c r="P527" i="2"/>
  <c r="P528" i="2"/>
  <c r="P183" i="2"/>
  <c r="P470" i="2"/>
  <c r="P589" i="2"/>
  <c r="P13" i="2"/>
  <c r="P11" i="2"/>
  <c r="P12" i="2"/>
  <c r="P223" i="2"/>
  <c r="P511" i="2"/>
  <c r="P280" i="2"/>
  <c r="N954" i="2"/>
  <c r="N965" i="2" s="1"/>
  <c r="P514" i="2"/>
  <c r="P343" i="2"/>
  <c r="P229" i="2"/>
  <c r="P566" i="2"/>
  <c r="P394" i="2"/>
  <c r="P496" i="2"/>
  <c r="P1118" i="2"/>
  <c r="P439" i="2"/>
  <c r="P39" i="2"/>
  <c r="P268" i="2"/>
  <c r="P226" i="2"/>
  <c r="P631" i="2"/>
  <c r="P337" i="2"/>
  <c r="P491" i="2"/>
  <c r="P454" i="2"/>
  <c r="P340" i="2"/>
  <c r="P325" i="2"/>
  <c r="P283" i="2"/>
  <c r="P549" i="2"/>
  <c r="O954" i="2"/>
  <c r="O837" i="2"/>
  <c r="D35" i="26" s="1"/>
  <c r="P1260" i="2"/>
  <c r="P1286" i="2" s="1"/>
  <c r="P92" i="2"/>
  <c r="P616" i="2"/>
  <c r="P320" i="2"/>
  <c r="P628" i="2"/>
  <c r="P377" i="2"/>
  <c r="P1037" i="2"/>
  <c r="P206" i="2"/>
  <c r="P263" i="2"/>
  <c r="P554" i="2"/>
  <c r="P880" i="2"/>
  <c r="P34" i="2"/>
  <c r="P1184" i="2" s="1"/>
  <c r="F28" i="26"/>
  <c r="P434" i="2"/>
  <c r="P382" i="2"/>
  <c r="P211" i="2"/>
  <c r="P611" i="2"/>
  <c r="Q805" i="2"/>
  <c r="Q831" i="2" s="1"/>
  <c r="Q662" i="2"/>
  <c r="Q826" i="2"/>
  <c r="Q663" i="2"/>
  <c r="Q1117" i="2"/>
  <c r="Q659" i="2"/>
  <c r="Q795" i="2"/>
  <c r="Q798" i="2"/>
  <c r="Q1025" i="2"/>
  <c r="Q1037" i="2" s="1"/>
  <c r="Q541" i="2"/>
  <c r="Q547" i="2"/>
  <c r="Q560" i="2"/>
  <c r="Q548" i="2"/>
  <c r="Q385" i="2"/>
  <c r="Q380" i="2"/>
  <c r="Q375" i="2"/>
  <c r="Q309" i="2"/>
  <c r="Q608" i="2"/>
  <c r="Q51" i="2"/>
  <c r="Q499" i="2"/>
  <c r="Q502" i="2"/>
  <c r="Q81" i="2"/>
  <c r="Q96" i="2"/>
  <c r="Q198" i="2"/>
  <c r="Q109" i="2"/>
  <c r="Q614" i="2"/>
  <c r="Q29" i="2"/>
  <c r="Q600" i="2"/>
  <c r="Q606" i="2"/>
  <c r="Q32" i="2"/>
  <c r="Q33" i="2"/>
  <c r="Q494" i="2"/>
  <c r="Q195" i="2"/>
  <c r="Q204" i="2"/>
  <c r="Q274" i="2"/>
  <c r="Q205" i="2"/>
  <c r="Q201" i="2"/>
  <c r="Q438" i="2"/>
  <c r="Q432" i="2"/>
  <c r="Q437" i="2"/>
  <c r="Q1172" i="2"/>
  <c r="Q1173" i="2" s="1"/>
  <c r="Q259" i="2"/>
  <c r="Q217" i="2"/>
  <c r="Q652" i="2"/>
  <c r="R1" i="2"/>
  <c r="Q557" i="2"/>
  <c r="Q552" i="2"/>
  <c r="Q1100" i="2"/>
  <c r="Q69" i="2" s="1"/>
  <c r="Q665" i="2"/>
  <c r="Q656" i="2"/>
  <c r="Q545" i="2"/>
  <c r="Q796" i="2"/>
  <c r="Q374" i="2"/>
  <c r="Q42" i="2"/>
  <c r="Q328" i="2"/>
  <c r="Q317" i="2"/>
  <c r="Q312" i="2"/>
  <c r="Q100" i="2"/>
  <c r="Q483" i="2"/>
  <c r="Q319" i="2"/>
  <c r="Q442" i="2"/>
  <c r="Q23" i="2"/>
  <c r="Q37" i="2"/>
  <c r="Q255" i="2"/>
  <c r="Q112" i="2"/>
  <c r="Q373" i="2"/>
  <c r="Q609" i="2"/>
  <c r="Q166" i="2"/>
  <c r="Q146" i="2"/>
  <c r="Q148" i="2"/>
  <c r="Q490" i="2"/>
  <c r="Q153" i="2"/>
  <c r="Q144" i="2"/>
  <c r="Q160" i="2"/>
  <c r="Q430" i="2"/>
  <c r="Q145" i="2"/>
  <c r="Q794" i="2"/>
  <c r="Q1108" i="2"/>
  <c r="Q400" i="2" s="1"/>
  <c r="Q553" i="2"/>
  <c r="Q89" i="2"/>
  <c r="Q423" i="2"/>
  <c r="Q87" i="2"/>
  <c r="Q266" i="2"/>
  <c r="Q30" i="2"/>
  <c r="Q88" i="2"/>
  <c r="Q806" i="2"/>
  <c r="Q804" i="2"/>
  <c r="Q830" i="2" s="1"/>
  <c r="Q1072" i="2"/>
  <c r="Q1084" i="2" s="1"/>
  <c r="Q828" i="2"/>
  <c r="Q1115" i="2"/>
  <c r="Q799" i="2"/>
  <c r="Q658" i="2"/>
  <c r="Q653" i="2"/>
  <c r="Q538" i="2"/>
  <c r="Q1106" i="2"/>
  <c r="Q505" i="2" s="1"/>
  <c r="Q388" i="2"/>
  <c r="Q372" i="2"/>
  <c r="Q103" i="2"/>
  <c r="Q619" i="2"/>
  <c r="Q57" i="2"/>
  <c r="Q603" i="2"/>
  <c r="Q495" i="2"/>
  <c r="Q115" i="2"/>
  <c r="Q486" i="2"/>
  <c r="Q445" i="2"/>
  <c r="Q260" i="2"/>
  <c r="Q84" i="2"/>
  <c r="Q48" i="2"/>
  <c r="Q271" i="2"/>
  <c r="Q610" i="2"/>
  <c r="Q262" i="2"/>
  <c r="Q258" i="2"/>
  <c r="Q106" i="2"/>
  <c r="Q141" i="2"/>
  <c r="Q138" i="2"/>
  <c r="Q147" i="2"/>
  <c r="Q202" i="2"/>
  <c r="Q487" i="2"/>
  <c r="Q1116" i="2"/>
  <c r="Q45" i="2"/>
  <c r="Q622" i="2"/>
  <c r="Q480" i="2"/>
  <c r="Q315" i="2"/>
  <c r="Q316" i="2"/>
  <c r="Q252" i="2"/>
  <c r="Q803" i="2"/>
  <c r="Q797" i="2"/>
  <c r="Q546" i="2"/>
  <c r="Q381" i="2"/>
  <c r="Q426" i="2"/>
  <c r="Q431" i="2"/>
  <c r="Q615" i="2"/>
  <c r="Q210" i="2"/>
  <c r="Q163" i="2"/>
  <c r="Q664" i="2"/>
  <c r="Q667" i="2"/>
  <c r="Q1107" i="2"/>
  <c r="Q631" i="2" s="1"/>
  <c r="Q825" i="2"/>
  <c r="Q1208" i="2"/>
  <c r="Q657" i="2"/>
  <c r="Q666" i="2"/>
  <c r="Q829" i="2"/>
  <c r="Q544" i="2"/>
  <c r="Q366" i="2"/>
  <c r="Q331" i="2"/>
  <c r="Q369" i="2"/>
  <c r="Q31" i="2"/>
  <c r="Q488" i="2"/>
  <c r="Q26" i="2"/>
  <c r="Q54" i="2"/>
  <c r="Q334" i="2"/>
  <c r="Q91" i="2"/>
  <c r="Q628" i="2"/>
  <c r="Q489" i="2"/>
  <c r="Q323" i="2"/>
  <c r="Q95" i="2"/>
  <c r="Q38" i="2"/>
  <c r="Q203" i="2"/>
  <c r="Q267" i="2"/>
  <c r="Q169" i="2"/>
  <c r="Q152" i="2"/>
  <c r="Q209" i="2"/>
  <c r="Q429" i="2"/>
  <c r="Q433" i="2"/>
  <c r="Q261" i="2"/>
  <c r="Q172" i="2"/>
  <c r="Q651" i="2"/>
  <c r="Q1103" i="2"/>
  <c r="Q376" i="2"/>
  <c r="Q324" i="2"/>
  <c r="Q318" i="2"/>
  <c r="Q90" i="2"/>
  <c r="Q607" i="2"/>
  <c r="Q71" i="2"/>
  <c r="Q569" i="2"/>
  <c r="Q229" i="2"/>
  <c r="Q277" i="2"/>
  <c r="Q566" i="2"/>
  <c r="Q226" i="2"/>
  <c r="Q280" i="2"/>
  <c r="P154" i="2"/>
  <c r="P97" i="2"/>
  <c r="P149" i="2"/>
  <c r="Q625" i="2" l="1"/>
  <c r="N985" i="2"/>
  <c r="Q563" i="2"/>
  <c r="Q448" i="2"/>
  <c r="H14" i="16"/>
  <c r="F133" i="2"/>
  <c r="J1260" i="2"/>
  <c r="J1286" i="2" s="1"/>
  <c r="H14" i="21"/>
  <c r="O1174" i="2"/>
  <c r="N127" i="2"/>
  <c r="N1259" i="2" s="1"/>
  <c r="N1285" i="2" s="1"/>
  <c r="H127" i="2"/>
  <c r="J127" i="2"/>
  <c r="G127" i="2"/>
  <c r="K127" i="2"/>
  <c r="M127" i="2"/>
  <c r="I127" i="2"/>
  <c r="L127" i="2"/>
  <c r="P127" i="2"/>
  <c r="P1259" i="2" s="1"/>
  <c r="O127" i="2"/>
  <c r="O1259" i="2" s="1"/>
  <c r="O1285" i="2" s="1"/>
  <c r="F14" i="15"/>
  <c r="H1259" i="2"/>
  <c r="H1285" i="2" s="1"/>
  <c r="Q469" i="2"/>
  <c r="K1260" i="2"/>
  <c r="K1286" i="2" s="1"/>
  <c r="M1174" i="2"/>
  <c r="F14" i="21"/>
  <c r="M1259" i="2"/>
  <c r="M1285" i="2" s="1"/>
  <c r="F14" i="19"/>
  <c r="K1259" i="2"/>
  <c r="K1285" i="2" s="1"/>
  <c r="Q528" i="2"/>
  <c r="Q185" i="2"/>
  <c r="G1174" i="2"/>
  <c r="F14" i="16"/>
  <c r="I1259" i="2"/>
  <c r="I1285" i="2" s="1"/>
  <c r="F14" i="20"/>
  <c r="L1259" i="2"/>
  <c r="L1285" i="2" s="1"/>
  <c r="Q354" i="2"/>
  <c r="Q468" i="2"/>
  <c r="Q128" i="2"/>
  <c r="Q1174" i="2"/>
  <c r="K1174" i="2"/>
  <c r="K419" i="2" s="1"/>
  <c r="H1174" i="2"/>
  <c r="F14" i="14"/>
  <c r="G1259" i="2"/>
  <c r="G1285" i="2" s="1"/>
  <c r="F14" i="17"/>
  <c r="J1259" i="2"/>
  <c r="J1285" i="2" s="1"/>
  <c r="F1257" i="2"/>
  <c r="F135" i="2"/>
  <c r="K77" i="2"/>
  <c r="K19" i="2"/>
  <c r="K410" i="2"/>
  <c r="K467" i="2"/>
  <c r="K534" i="2"/>
  <c r="K239" i="2"/>
  <c r="K182" i="2"/>
  <c r="K1170" i="2" s="1"/>
  <c r="K134" i="2"/>
  <c r="K1258" i="2" s="1"/>
  <c r="K1284" i="2" s="1"/>
  <c r="K68" i="2"/>
  <c r="K10" i="2"/>
  <c r="K296" i="2"/>
  <c r="K125" i="2"/>
  <c r="K1255" i="2" s="1"/>
  <c r="K1281" i="2" s="1"/>
  <c r="K525" i="2"/>
  <c r="K353" i="2"/>
  <c r="K362" i="2"/>
  <c r="K587" i="2"/>
  <c r="K596" i="2"/>
  <c r="K476" i="2"/>
  <c r="K248" i="2"/>
  <c r="K191" i="2"/>
  <c r="H410" i="2"/>
  <c r="H68" i="2"/>
  <c r="H125" i="2"/>
  <c r="H1255" i="2" s="1"/>
  <c r="H1281" i="2" s="1"/>
  <c r="H419" i="2"/>
  <c r="H134" i="2"/>
  <c r="H1258" i="2" s="1"/>
  <c r="H1284" i="2" s="1"/>
  <c r="H77" i="2"/>
  <c r="H248" i="2"/>
  <c r="H239" i="2"/>
  <c r="H10" i="2"/>
  <c r="H182" i="2"/>
  <c r="H1170" i="2" s="1"/>
  <c r="H362" i="2"/>
  <c r="H305" i="2"/>
  <c r="H476" i="2"/>
  <c r="H191" i="2"/>
  <c r="H587" i="2"/>
  <c r="H353" i="2"/>
  <c r="H296" i="2"/>
  <c r="H596" i="2"/>
  <c r="H534" i="2"/>
  <c r="H525" i="2"/>
  <c r="H19" i="2"/>
  <c r="H467" i="2"/>
  <c r="L1260" i="2"/>
  <c r="L1286" i="2" s="1"/>
  <c r="H14" i="15"/>
  <c r="H14" i="26"/>
  <c r="O149" i="2"/>
  <c r="O1260" i="2"/>
  <c r="O1286" i="2" s="1"/>
  <c r="J149" i="2"/>
  <c r="F1165" i="2"/>
  <c r="T1163" i="2"/>
  <c r="U1163" i="2" s="1"/>
  <c r="V1163" i="2" s="1"/>
  <c r="N10" i="2"/>
  <c r="N410" i="2"/>
  <c r="N191" i="2"/>
  <c r="N19" i="2"/>
  <c r="N525" i="2"/>
  <c r="N534" i="2"/>
  <c r="N239" i="2"/>
  <c r="N476" i="2"/>
  <c r="N248" i="2"/>
  <c r="N68" i="2"/>
  <c r="N125" i="2"/>
  <c r="N1255" i="2" s="1"/>
  <c r="N1281" i="2" s="1"/>
  <c r="N296" i="2"/>
  <c r="N419" i="2"/>
  <c r="N134" i="2"/>
  <c r="N1258" i="2" s="1"/>
  <c r="N1284" i="2" s="1"/>
  <c r="N353" i="2"/>
  <c r="N596" i="2"/>
  <c r="N362" i="2"/>
  <c r="N77" i="2"/>
  <c r="N182" i="2"/>
  <c r="N1170" i="2" s="1"/>
  <c r="N467" i="2"/>
  <c r="N305" i="2"/>
  <c r="N587" i="2"/>
  <c r="J77" i="2"/>
  <c r="J525" i="2"/>
  <c r="J410" i="2"/>
  <c r="J534" i="2"/>
  <c r="J182" i="2"/>
  <c r="J1170" i="2" s="1"/>
  <c r="J587" i="2"/>
  <c r="J305" i="2"/>
  <c r="J296" i="2"/>
  <c r="J596" i="2"/>
  <c r="J467" i="2"/>
  <c r="J125" i="2"/>
  <c r="J1255" i="2" s="1"/>
  <c r="J1281" i="2" s="1"/>
  <c r="J134" i="2"/>
  <c r="J1258" i="2" s="1"/>
  <c r="J1284" i="2" s="1"/>
  <c r="J191" i="2"/>
  <c r="J476" i="2"/>
  <c r="J19" i="2"/>
  <c r="J68" i="2"/>
  <c r="J362" i="2"/>
  <c r="J419" i="2"/>
  <c r="J10" i="2"/>
  <c r="J248" i="2"/>
  <c r="J353" i="2"/>
  <c r="J239" i="2"/>
  <c r="I1174" i="2"/>
  <c r="L1174" i="2"/>
  <c r="H14" i="14"/>
  <c r="H149" i="2"/>
  <c r="H121" i="1"/>
  <c r="AK121" i="1" s="1"/>
  <c r="AL121" i="1" s="1"/>
  <c r="F237" i="2"/>
  <c r="F243" i="2" s="1"/>
  <c r="F288" i="2" s="1"/>
  <c r="H653" i="1"/>
  <c r="AK653" i="1" s="1"/>
  <c r="AL653" i="1" s="1"/>
  <c r="AK536" i="1"/>
  <c r="AL536" i="1" s="1"/>
  <c r="H538" i="1"/>
  <c r="AK538" i="1" s="1"/>
  <c r="AL538" i="1" s="1"/>
  <c r="I1260" i="2"/>
  <c r="I1286" i="2" s="1"/>
  <c r="H14" i="20"/>
  <c r="H597" i="1"/>
  <c r="H330" i="1"/>
  <c r="F180" i="2"/>
  <c r="N149" i="2"/>
  <c r="M419" i="2"/>
  <c r="M467" i="2"/>
  <c r="M19" i="2"/>
  <c r="M534" i="2"/>
  <c r="M587" i="2"/>
  <c r="M525" i="2"/>
  <c r="M191" i="2"/>
  <c r="M362" i="2"/>
  <c r="M182" i="2"/>
  <c r="M1170" i="2" s="1"/>
  <c r="M596" i="2"/>
  <c r="M296" i="2"/>
  <c r="M125" i="2"/>
  <c r="M1255" i="2" s="1"/>
  <c r="M1281" i="2" s="1"/>
  <c r="M305" i="2"/>
  <c r="M10" i="2"/>
  <c r="M476" i="2"/>
  <c r="M68" i="2"/>
  <c r="M353" i="2"/>
  <c r="M77" i="2"/>
  <c r="M239" i="2"/>
  <c r="M134" i="2"/>
  <c r="M1258" i="2" s="1"/>
  <c r="M1284" i="2" s="1"/>
  <c r="M410" i="2"/>
  <c r="M248" i="2"/>
  <c r="G149" i="2"/>
  <c r="M1260" i="2"/>
  <c r="M1286" i="2" s="1"/>
  <c r="P1174" i="2"/>
  <c r="G467" i="2"/>
  <c r="G77" i="2"/>
  <c r="G534" i="2"/>
  <c r="G125" i="2"/>
  <c r="G1255" i="2" s="1"/>
  <c r="G1281" i="2" s="1"/>
  <c r="G419" i="2"/>
  <c r="G296" i="2"/>
  <c r="G10" i="2"/>
  <c r="G596" i="2"/>
  <c r="G362" i="2"/>
  <c r="G305" i="2"/>
  <c r="G410" i="2"/>
  <c r="G19" i="2"/>
  <c r="G134" i="2"/>
  <c r="G1258" i="2" s="1"/>
  <c r="G1284" i="2" s="1"/>
  <c r="G476" i="2"/>
  <c r="G525" i="2"/>
  <c r="G182" i="2"/>
  <c r="G1170" i="2" s="1"/>
  <c r="G587" i="2"/>
  <c r="G191" i="2"/>
  <c r="G248" i="2"/>
  <c r="G353" i="2"/>
  <c r="G239" i="2"/>
  <c r="G68" i="2"/>
  <c r="J271" i="2"/>
  <c r="K271" i="2"/>
  <c r="H271" i="2"/>
  <c r="I271" i="2"/>
  <c r="G271" i="2"/>
  <c r="L271" i="2"/>
  <c r="M271" i="2"/>
  <c r="N271" i="2"/>
  <c r="O271" i="2"/>
  <c r="P271" i="2"/>
  <c r="K149" i="2"/>
  <c r="AB303" i="1"/>
  <c r="AB654" i="1" s="1"/>
  <c r="AK654" i="1" s="1"/>
  <c r="AL654" i="1" s="1"/>
  <c r="AB328" i="1"/>
  <c r="AK328" i="1" s="1"/>
  <c r="AL328" i="1" s="1"/>
  <c r="AK277" i="1"/>
  <c r="Q283" i="2"/>
  <c r="Q286" i="2"/>
  <c r="Q337" i="2"/>
  <c r="Q97" i="2"/>
  <c r="Q454" i="2"/>
  <c r="Q511" i="2"/>
  <c r="Q343" i="2"/>
  <c r="Q340" i="2"/>
  <c r="Q508" i="2"/>
  <c r="Q394" i="2"/>
  <c r="Q514" i="2"/>
  <c r="Q451" i="2"/>
  <c r="Q220" i="2"/>
  <c r="Q296" i="2"/>
  <c r="Q391" i="2"/>
  <c r="Q125" i="2"/>
  <c r="Q1255" i="2" s="1"/>
  <c r="Q1281" i="2" s="1"/>
  <c r="Q223" i="2"/>
  <c r="Q410" i="2"/>
  <c r="Q362" i="2"/>
  <c r="Q534" i="2"/>
  <c r="Q572" i="2"/>
  <c r="Q397" i="2"/>
  <c r="Q634" i="2"/>
  <c r="Q457" i="2"/>
  <c r="Q211" i="2"/>
  <c r="Q183" i="2"/>
  <c r="Q299" i="2"/>
  <c r="Q297" i="2"/>
  <c r="Q127" i="2"/>
  <c r="Q126" i="2"/>
  <c r="Q241" i="2"/>
  <c r="Q70" i="2"/>
  <c r="Q11" i="2"/>
  <c r="Q356" i="2"/>
  <c r="Q589" i="2"/>
  <c r="Q13" i="2"/>
  <c r="Q298" i="2"/>
  <c r="Q526" i="2"/>
  <c r="Q411" i="2"/>
  <c r="Q355" i="2"/>
  <c r="Q654" i="2"/>
  <c r="Q470" i="2"/>
  <c r="Q588" i="2"/>
  <c r="Q413" i="2"/>
  <c r="Q12" i="2"/>
  <c r="Q242" i="2"/>
  <c r="Q412" i="2"/>
  <c r="Q240" i="2"/>
  <c r="Q527" i="2"/>
  <c r="Q590" i="2"/>
  <c r="Q549" i="2"/>
  <c r="Q154" i="2"/>
  <c r="Q439" i="2"/>
  <c r="Q434" i="2"/>
  <c r="Q325" i="2"/>
  <c r="Q320" i="2"/>
  <c r="Q1260" i="2"/>
  <c r="Q1286" i="2" s="1"/>
  <c r="R1117" i="2"/>
  <c r="T1117" i="2" s="1"/>
  <c r="U1117" i="2" s="1"/>
  <c r="R795" i="2"/>
  <c r="T795" i="2" s="1"/>
  <c r="U795" i="2" s="1"/>
  <c r="V795" i="2" s="1"/>
  <c r="R794" i="2"/>
  <c r="R1100" i="2"/>
  <c r="R126" i="2" s="1"/>
  <c r="R545" i="2"/>
  <c r="T545" i="2" s="1"/>
  <c r="U545" i="2" s="1"/>
  <c r="V545" i="2" s="1"/>
  <c r="R666" i="2"/>
  <c r="T666" i="2" s="1"/>
  <c r="U666" i="2" s="1"/>
  <c r="V666" i="2" s="1"/>
  <c r="R381" i="2"/>
  <c r="T381" i="2" s="1"/>
  <c r="U381" i="2" s="1"/>
  <c r="V381" i="2" s="1"/>
  <c r="R369" i="2"/>
  <c r="T369" i="2" s="1"/>
  <c r="U369" i="2" s="1"/>
  <c r="V369" i="2" s="1"/>
  <c r="R309" i="2"/>
  <c r="T309" i="2" s="1"/>
  <c r="U309" i="2" s="1"/>
  <c r="V309" i="2" s="1"/>
  <c r="R103" i="2"/>
  <c r="T103" i="2" s="1"/>
  <c r="U103" i="2" s="1"/>
  <c r="V103" i="2" s="1"/>
  <c r="R81" i="2"/>
  <c r="T81" i="2" s="1"/>
  <c r="U81" i="2" s="1"/>
  <c r="V81" i="2" s="1"/>
  <c r="R48" i="2"/>
  <c r="T48" i="2" s="1"/>
  <c r="U48" i="2" s="1"/>
  <c r="V48" i="2" s="1"/>
  <c r="R483" i="2"/>
  <c r="T483" i="2" s="1"/>
  <c r="U483" i="2" s="1"/>
  <c r="V483" i="2" s="1"/>
  <c r="R318" i="2"/>
  <c r="T318" i="2" s="1"/>
  <c r="U318" i="2" s="1"/>
  <c r="V318" i="2" s="1"/>
  <c r="R203" i="2"/>
  <c r="R489" i="2"/>
  <c r="T489" i="2" s="1"/>
  <c r="U489" i="2" s="1"/>
  <c r="V489" i="2" s="1"/>
  <c r="R30" i="2"/>
  <c r="T30" i="2" s="1"/>
  <c r="U30" i="2" s="1"/>
  <c r="V30" i="2" s="1"/>
  <c r="R209" i="2"/>
  <c r="R316" i="2"/>
  <c r="T316" i="2" s="1"/>
  <c r="U316" i="2" s="1"/>
  <c r="V316" i="2" s="1"/>
  <c r="R141" i="2"/>
  <c r="T141" i="2" s="1"/>
  <c r="U141" i="2" s="1"/>
  <c r="V141" i="2" s="1"/>
  <c r="R259" i="2"/>
  <c r="T259" i="2" s="1"/>
  <c r="U259" i="2" s="1"/>
  <c r="V259" i="2" s="1"/>
  <c r="R109" i="2"/>
  <c r="T109" i="2" s="1"/>
  <c r="U109" i="2" s="1"/>
  <c r="V109" i="2" s="1"/>
  <c r="R87" i="2"/>
  <c r="R261" i="2"/>
  <c r="T261" i="2" s="1"/>
  <c r="U261" i="2" s="1"/>
  <c r="V261" i="2" s="1"/>
  <c r="R138" i="2"/>
  <c r="R169" i="2"/>
  <c r="T169" i="2" s="1"/>
  <c r="U169" i="2" s="1"/>
  <c r="V169" i="2" s="1"/>
  <c r="R88" i="2"/>
  <c r="T88" i="2" s="1"/>
  <c r="U88" i="2" s="1"/>
  <c r="V88" i="2" s="1"/>
  <c r="R829" i="2"/>
  <c r="T829" i="2" s="1"/>
  <c r="U829" i="2" s="1"/>
  <c r="V829" i="2" s="1"/>
  <c r="R1208" i="2"/>
  <c r="T1208" i="2" s="1"/>
  <c r="U1208" i="2" s="1"/>
  <c r="V1208" i="2" s="1"/>
  <c r="R799" i="2"/>
  <c r="T799" i="2" s="1"/>
  <c r="U799" i="2" s="1"/>
  <c r="V799" i="2" s="1"/>
  <c r="R324" i="2"/>
  <c r="T324" i="2" s="1"/>
  <c r="U324" i="2" s="1"/>
  <c r="V324" i="2" s="1"/>
  <c r="R37" i="2"/>
  <c r="R600" i="2"/>
  <c r="T600" i="2" s="1"/>
  <c r="U600" i="2" s="1"/>
  <c r="V600" i="2" s="1"/>
  <c r="R614" i="2"/>
  <c r="R166" i="2"/>
  <c r="T166" i="2" s="1"/>
  <c r="U166" i="2" s="1"/>
  <c r="V166" i="2" s="1"/>
  <c r="R1172" i="2"/>
  <c r="R160" i="2"/>
  <c r="T160" i="2" s="1"/>
  <c r="U160" i="2" s="1"/>
  <c r="V160" i="2" s="1"/>
  <c r="R659" i="2"/>
  <c r="T659" i="2" s="1"/>
  <c r="U659" i="2" s="1"/>
  <c r="V659" i="2" s="1"/>
  <c r="R652" i="2"/>
  <c r="T652" i="2" s="1"/>
  <c r="U652" i="2" s="1"/>
  <c r="V652" i="2" s="1"/>
  <c r="R1115" i="2"/>
  <c r="R538" i="2"/>
  <c r="T538" i="2" s="1"/>
  <c r="U538" i="2" s="1"/>
  <c r="V538" i="2" s="1"/>
  <c r="R657" i="2"/>
  <c r="T657" i="2" s="1"/>
  <c r="U657" i="2" s="1"/>
  <c r="V657" i="2" s="1"/>
  <c r="R667" i="2"/>
  <c r="T667" i="2" s="1"/>
  <c r="U667" i="2" s="1"/>
  <c r="V667" i="2" s="1"/>
  <c r="R806" i="2"/>
  <c r="T806" i="2" s="1"/>
  <c r="U806" i="2" s="1"/>
  <c r="R1107" i="2"/>
  <c r="R796" i="2"/>
  <c r="T796" i="2" s="1"/>
  <c r="U796" i="2" s="1"/>
  <c r="V796" i="2" s="1"/>
  <c r="R547" i="2"/>
  <c r="T547" i="2" s="1"/>
  <c r="U547" i="2" s="1"/>
  <c r="V547" i="2" s="1"/>
  <c r="R662" i="2"/>
  <c r="T662" i="2" s="1"/>
  <c r="U662" i="2" s="1"/>
  <c r="V662" i="2" s="1"/>
  <c r="R1103" i="2"/>
  <c r="T1103" i="2" s="1"/>
  <c r="U1103" i="2" s="1"/>
  <c r="V1103" i="2" s="1"/>
  <c r="R388" i="2"/>
  <c r="T388" i="2" s="1"/>
  <c r="U388" i="2" s="1"/>
  <c r="V388" i="2" s="1"/>
  <c r="R380" i="2"/>
  <c r="R331" i="2"/>
  <c r="T331" i="2" s="1"/>
  <c r="U331" i="2" s="1"/>
  <c r="V331" i="2" s="1"/>
  <c r="R376" i="2"/>
  <c r="T376" i="2" s="1"/>
  <c r="U376" i="2" s="1"/>
  <c r="V376" i="2" s="1"/>
  <c r="R499" i="2"/>
  <c r="T499" i="2" s="1"/>
  <c r="U499" i="2" s="1"/>
  <c r="V499" i="2" s="1"/>
  <c r="R31" i="2"/>
  <c r="T31" i="2" s="1"/>
  <c r="U31" i="2" s="1"/>
  <c r="V31" i="2" s="1"/>
  <c r="R488" i="2"/>
  <c r="T488" i="2" s="1"/>
  <c r="U488" i="2" s="1"/>
  <c r="V488" i="2" s="1"/>
  <c r="R100" i="2"/>
  <c r="T100" i="2" s="1"/>
  <c r="U100" i="2" s="1"/>
  <c r="V100" i="2" s="1"/>
  <c r="R431" i="2"/>
  <c r="T431" i="2" s="1"/>
  <c r="U431" i="2" s="1"/>
  <c r="V431" i="2" s="1"/>
  <c r="R323" i="2"/>
  <c r="R29" i="2"/>
  <c r="R495" i="2"/>
  <c r="T495" i="2" s="1"/>
  <c r="U495" i="2" s="1"/>
  <c r="V495" i="2" s="1"/>
  <c r="R442" i="2"/>
  <c r="T442" i="2" s="1"/>
  <c r="U442" i="2" s="1"/>
  <c r="V442" i="2" s="1"/>
  <c r="R319" i="2"/>
  <c r="T319" i="2" s="1"/>
  <c r="U319" i="2" s="1"/>
  <c r="V319" i="2" s="1"/>
  <c r="R96" i="2"/>
  <c r="T96" i="2" s="1"/>
  <c r="U96" i="2" s="1"/>
  <c r="V96" i="2" s="1"/>
  <c r="R433" i="2"/>
  <c r="T433" i="2" s="1"/>
  <c r="U433" i="2" s="1"/>
  <c r="V433" i="2" s="1"/>
  <c r="R610" i="2"/>
  <c r="T610" i="2" s="1"/>
  <c r="U610" i="2" s="1"/>
  <c r="V610" i="2" s="1"/>
  <c r="R106" i="2"/>
  <c r="T106" i="2" s="1"/>
  <c r="U106" i="2" s="1"/>
  <c r="V106" i="2" s="1"/>
  <c r="R1165" i="2"/>
  <c r="R828" i="2"/>
  <c r="T828" i="2" s="1"/>
  <c r="U828" i="2" s="1"/>
  <c r="V828" i="2" s="1"/>
  <c r="R804" i="2"/>
  <c r="T804" i="2" s="1"/>
  <c r="U804" i="2" s="1"/>
  <c r="V804" i="2" s="1"/>
  <c r="R803" i="2"/>
  <c r="T803" i="2" s="1"/>
  <c r="U803" i="2" s="1"/>
  <c r="V803" i="2" s="1"/>
  <c r="R42" i="2"/>
  <c r="T42" i="2" s="1"/>
  <c r="U42" i="2" s="1"/>
  <c r="V42" i="2" s="1"/>
  <c r="R312" i="2"/>
  <c r="T312" i="2" s="1"/>
  <c r="U312" i="2" s="1"/>
  <c r="V312" i="2" s="1"/>
  <c r="R33" i="2"/>
  <c r="T33" i="2" s="1"/>
  <c r="U33" i="2" s="1"/>
  <c r="V33" i="2" s="1"/>
  <c r="R494" i="2"/>
  <c r="R429" i="2"/>
  <c r="R148" i="2"/>
  <c r="T148" i="2" s="1"/>
  <c r="U148" i="2" s="1"/>
  <c r="V148" i="2" s="1"/>
  <c r="R204" i="2"/>
  <c r="T204" i="2" s="1"/>
  <c r="U204" i="2" s="1"/>
  <c r="V204" i="2" s="1"/>
  <c r="R664" i="2"/>
  <c r="T664" i="2" s="1"/>
  <c r="U664" i="2" s="1"/>
  <c r="V664" i="2" s="1"/>
  <c r="R653" i="2"/>
  <c r="T653" i="2" s="1"/>
  <c r="U653" i="2" s="1"/>
  <c r="R1108" i="2"/>
  <c r="R229" i="2" s="1"/>
  <c r="T229" i="2" s="1"/>
  <c r="U229" i="2" s="1"/>
  <c r="V229" i="2" s="1"/>
  <c r="R372" i="2"/>
  <c r="R502" i="2"/>
  <c r="T502" i="2" s="1"/>
  <c r="U502" i="2" s="1"/>
  <c r="V502" i="2" s="1"/>
  <c r="R38" i="2"/>
  <c r="T38" i="2" s="1"/>
  <c r="U38" i="2" s="1"/>
  <c r="V38" i="2" s="1"/>
  <c r="R423" i="2"/>
  <c r="T423" i="2" s="1"/>
  <c r="U423" i="2" s="1"/>
  <c r="V423" i="2" s="1"/>
  <c r="R23" i="2"/>
  <c r="T23" i="2" s="1"/>
  <c r="U23" i="2" s="1"/>
  <c r="V23" i="2" s="1"/>
  <c r="R144" i="2"/>
  <c r="R437" i="2"/>
  <c r="R217" i="2"/>
  <c r="T217" i="2" s="1"/>
  <c r="U217" i="2" s="1"/>
  <c r="V217" i="2" s="1"/>
  <c r="R798" i="2"/>
  <c r="T798" i="2" s="1"/>
  <c r="U798" i="2" s="1"/>
  <c r="V798" i="2" s="1"/>
  <c r="R656" i="2"/>
  <c r="T656" i="2" s="1"/>
  <c r="U656" i="2" s="1"/>
  <c r="R1025" i="2"/>
  <c r="R663" i="2"/>
  <c r="T663" i="2" s="1"/>
  <c r="U663" i="2" s="1"/>
  <c r="V663" i="2" s="1"/>
  <c r="R544" i="2"/>
  <c r="R825" i="2"/>
  <c r="R552" i="2"/>
  <c r="R805" i="2"/>
  <c r="R658" i="2"/>
  <c r="T658" i="2" s="1"/>
  <c r="U658" i="2" s="1"/>
  <c r="V658" i="2" s="1"/>
  <c r="R541" i="2"/>
  <c r="T541" i="2" s="1"/>
  <c r="U541" i="2" s="1"/>
  <c r="V541" i="2" s="1"/>
  <c r="R665" i="2"/>
  <c r="T665" i="2" s="1"/>
  <c r="U665" i="2" s="1"/>
  <c r="V665" i="2" s="1"/>
  <c r="R1116" i="2"/>
  <c r="T1116" i="2" s="1"/>
  <c r="U1116" i="2" s="1"/>
  <c r="R366" i="2"/>
  <c r="T366" i="2" s="1"/>
  <c r="U366" i="2" s="1"/>
  <c r="V366" i="2" s="1"/>
  <c r="R375" i="2"/>
  <c r="T375" i="2" s="1"/>
  <c r="U375" i="2" s="1"/>
  <c r="V375" i="2" s="1"/>
  <c r="R328" i="2"/>
  <c r="T328" i="2" s="1"/>
  <c r="U328" i="2" s="1"/>
  <c r="V328" i="2" s="1"/>
  <c r="R385" i="2"/>
  <c r="T385" i="2" s="1"/>
  <c r="U385" i="2" s="1"/>
  <c r="V385" i="2" s="1"/>
  <c r="R622" i="2"/>
  <c r="T622" i="2" s="1"/>
  <c r="U622" i="2" s="1"/>
  <c r="V622" i="2" s="1"/>
  <c r="R619" i="2"/>
  <c r="T619" i="2" s="1"/>
  <c r="U619" i="2" s="1"/>
  <c r="V619" i="2" s="1"/>
  <c r="R608" i="2"/>
  <c r="T608" i="2" s="1"/>
  <c r="U608" i="2" s="1"/>
  <c r="V608" i="2" s="1"/>
  <c r="R51" i="2"/>
  <c r="T51" i="2" s="1"/>
  <c r="U51" i="2" s="1"/>
  <c r="V51" i="2" s="1"/>
  <c r="R84" i="2"/>
  <c r="T84" i="2" s="1"/>
  <c r="U84" i="2" s="1"/>
  <c r="V84" i="2" s="1"/>
  <c r="R115" i="2"/>
  <c r="T115" i="2" s="1"/>
  <c r="U115" i="2" s="1"/>
  <c r="V115" i="2" s="1"/>
  <c r="R95" i="2"/>
  <c r="R32" i="2"/>
  <c r="T32" i="2" s="1"/>
  <c r="U32" i="2" s="1"/>
  <c r="V32" i="2" s="1"/>
  <c r="R373" i="2"/>
  <c r="T373" i="2" s="1"/>
  <c r="U373" i="2" s="1"/>
  <c r="V373" i="2" s="1"/>
  <c r="R54" i="2"/>
  <c r="T54" i="2" s="1"/>
  <c r="U54" i="2" s="1"/>
  <c r="V54" i="2" s="1"/>
  <c r="R445" i="2"/>
  <c r="T445" i="2" s="1"/>
  <c r="U445" i="2" s="1"/>
  <c r="V445" i="2" s="1"/>
  <c r="R426" i="2"/>
  <c r="T426" i="2" s="1"/>
  <c r="U426" i="2" s="1"/>
  <c r="V426" i="2" s="1"/>
  <c r="R260" i="2"/>
  <c r="T260" i="2" s="1"/>
  <c r="U260" i="2" s="1"/>
  <c r="V260" i="2" s="1"/>
  <c r="R271" i="2"/>
  <c r="T271" i="2" s="1"/>
  <c r="U271" i="2" s="1"/>
  <c r="V271" i="2" s="1"/>
  <c r="R198" i="2"/>
  <c r="T198" i="2" s="1"/>
  <c r="U198" i="2" s="1"/>
  <c r="V198" i="2" s="1"/>
  <c r="R90" i="2"/>
  <c r="T90" i="2" s="1"/>
  <c r="U90" i="2" s="1"/>
  <c r="V90" i="2" s="1"/>
  <c r="R205" i="2"/>
  <c r="T205" i="2" s="1"/>
  <c r="U205" i="2" s="1"/>
  <c r="V205" i="2" s="1"/>
  <c r="R274" i="2"/>
  <c r="T274" i="2" s="1"/>
  <c r="U274" i="2" s="1"/>
  <c r="V274" i="2" s="1"/>
  <c r="R432" i="2"/>
  <c r="T432" i="2" s="1"/>
  <c r="U432" i="2" s="1"/>
  <c r="V432" i="2" s="1"/>
  <c r="R258" i="2"/>
  <c r="R266" i="2"/>
  <c r="R152" i="2"/>
  <c r="R252" i="2"/>
  <c r="T252" i="2" s="1"/>
  <c r="U252" i="2" s="1"/>
  <c r="V252" i="2" s="1"/>
  <c r="R262" i="2"/>
  <c r="T262" i="2" s="1"/>
  <c r="U262" i="2" s="1"/>
  <c r="V262" i="2" s="1"/>
  <c r="R430" i="2"/>
  <c r="T430" i="2" s="1"/>
  <c r="U430" i="2" s="1"/>
  <c r="V430" i="2" s="1"/>
  <c r="R202" i="2"/>
  <c r="T202" i="2" s="1"/>
  <c r="U202" i="2" s="1"/>
  <c r="V202" i="2" s="1"/>
  <c r="R145" i="2"/>
  <c r="T145" i="2" s="1"/>
  <c r="U145" i="2" s="1"/>
  <c r="V145" i="2" s="1"/>
  <c r="R826" i="2"/>
  <c r="T826" i="2" s="1"/>
  <c r="U826" i="2" s="1"/>
  <c r="V826" i="2" s="1"/>
  <c r="R560" i="2"/>
  <c r="T560" i="2" s="1"/>
  <c r="U560" i="2" s="1"/>
  <c r="V560" i="2" s="1"/>
  <c r="R797" i="2"/>
  <c r="T797" i="2" s="1"/>
  <c r="U797" i="2" s="1"/>
  <c r="V797" i="2" s="1"/>
  <c r="R548" i="2"/>
  <c r="T548" i="2" s="1"/>
  <c r="U548" i="2" s="1"/>
  <c r="V548" i="2" s="1"/>
  <c r="R651" i="2"/>
  <c r="R1072" i="2"/>
  <c r="R374" i="2"/>
  <c r="T374" i="2" s="1"/>
  <c r="U374" i="2" s="1"/>
  <c r="V374" i="2" s="1"/>
  <c r="R45" i="2"/>
  <c r="T45" i="2" s="1"/>
  <c r="U45" i="2" s="1"/>
  <c r="V45" i="2" s="1"/>
  <c r="R26" i="2"/>
  <c r="T26" i="2" s="1"/>
  <c r="U26" i="2" s="1"/>
  <c r="V26" i="2" s="1"/>
  <c r="R89" i="2"/>
  <c r="T89" i="2" s="1"/>
  <c r="U89" i="2" s="1"/>
  <c r="V89" i="2" s="1"/>
  <c r="R315" i="2"/>
  <c r="R267" i="2"/>
  <c r="T267" i="2" s="1"/>
  <c r="U267" i="2" s="1"/>
  <c r="V267" i="2" s="1"/>
  <c r="R615" i="2"/>
  <c r="T615" i="2" s="1"/>
  <c r="U615" i="2" s="1"/>
  <c r="V615" i="2" s="1"/>
  <c r="R480" i="2"/>
  <c r="T480" i="2" s="1"/>
  <c r="U480" i="2" s="1"/>
  <c r="V480" i="2" s="1"/>
  <c r="R91" i="2"/>
  <c r="T91" i="2" s="1"/>
  <c r="U91" i="2" s="1"/>
  <c r="V91" i="2" s="1"/>
  <c r="R486" i="2"/>
  <c r="R438" i="2"/>
  <c r="T438" i="2" s="1"/>
  <c r="U438" i="2" s="1"/>
  <c r="V438" i="2" s="1"/>
  <c r="R146" i="2"/>
  <c r="R201" i="2"/>
  <c r="R255" i="2"/>
  <c r="T255" i="2" s="1"/>
  <c r="U255" i="2" s="1"/>
  <c r="V255" i="2" s="1"/>
  <c r="R163" i="2"/>
  <c r="T163" i="2" s="1"/>
  <c r="U163" i="2" s="1"/>
  <c r="V163" i="2" s="1"/>
  <c r="R487" i="2"/>
  <c r="T487" i="2" s="1"/>
  <c r="U487" i="2" s="1"/>
  <c r="V487" i="2" s="1"/>
  <c r="R609" i="2"/>
  <c r="T609" i="2" s="1"/>
  <c r="U609" i="2" s="1"/>
  <c r="V609" i="2" s="1"/>
  <c r="R210" i="2"/>
  <c r="T210" i="2" s="1"/>
  <c r="U210" i="2" s="1"/>
  <c r="V210" i="2" s="1"/>
  <c r="R490" i="2"/>
  <c r="T490" i="2" s="1"/>
  <c r="U490" i="2" s="1"/>
  <c r="V490" i="2" s="1"/>
  <c r="R147" i="2"/>
  <c r="T147" i="2" s="1"/>
  <c r="U147" i="2" s="1"/>
  <c r="V147" i="2" s="1"/>
  <c r="R172" i="2"/>
  <c r="T172" i="2" s="1"/>
  <c r="U172" i="2" s="1"/>
  <c r="V172" i="2" s="1"/>
  <c r="R546" i="2"/>
  <c r="T546" i="2" s="1"/>
  <c r="U546" i="2" s="1"/>
  <c r="V546" i="2" s="1"/>
  <c r="R553" i="2"/>
  <c r="T553" i="2" s="1"/>
  <c r="U553" i="2" s="1"/>
  <c r="V553" i="2" s="1"/>
  <c r="R557" i="2"/>
  <c r="T557" i="2" s="1"/>
  <c r="U557" i="2" s="1"/>
  <c r="V557" i="2" s="1"/>
  <c r="R1106" i="2"/>
  <c r="T1106" i="2" s="1"/>
  <c r="U1106" i="2" s="1"/>
  <c r="V1106" i="2" s="1"/>
  <c r="R317" i="2"/>
  <c r="T317" i="2" s="1"/>
  <c r="U317" i="2" s="1"/>
  <c r="V317" i="2" s="1"/>
  <c r="R57" i="2"/>
  <c r="T57" i="2" s="1"/>
  <c r="U57" i="2" s="1"/>
  <c r="V57" i="2" s="1"/>
  <c r="R112" i="2"/>
  <c r="T112" i="2" s="1"/>
  <c r="U112" i="2" s="1"/>
  <c r="V112" i="2" s="1"/>
  <c r="R603" i="2"/>
  <c r="T603" i="2" s="1"/>
  <c r="U603" i="2" s="1"/>
  <c r="V603" i="2" s="1"/>
  <c r="R606" i="2"/>
  <c r="R153" i="2"/>
  <c r="T153" i="2" s="1"/>
  <c r="U153" i="2" s="1"/>
  <c r="V153" i="2" s="1"/>
  <c r="R195" i="2"/>
  <c r="R607" i="2"/>
  <c r="T607" i="2" s="1"/>
  <c r="U607" i="2" s="1"/>
  <c r="V607" i="2" s="1"/>
  <c r="R340" i="2"/>
  <c r="T340" i="2" s="1"/>
  <c r="U340" i="2" s="1"/>
  <c r="V340" i="2" s="1"/>
  <c r="R226" i="2"/>
  <c r="T226" i="2" s="1"/>
  <c r="U226" i="2" s="1"/>
  <c r="V226" i="2" s="1"/>
  <c r="R508" i="2"/>
  <c r="T508" i="2" s="1"/>
  <c r="U508" i="2" s="1"/>
  <c r="V508" i="2" s="1"/>
  <c r="R223" i="2"/>
  <c r="T223" i="2" s="1"/>
  <c r="U223" i="2" s="1"/>
  <c r="V223" i="2" s="1"/>
  <c r="R454" i="2"/>
  <c r="R298" i="2"/>
  <c r="T298" i="2" s="1"/>
  <c r="U298" i="2" s="1"/>
  <c r="V298" i="2" s="1"/>
  <c r="R337" i="2"/>
  <c r="T337" i="2" s="1"/>
  <c r="U337" i="2" s="1"/>
  <c r="V337" i="2" s="1"/>
  <c r="R631" i="2"/>
  <c r="T631" i="2" s="1"/>
  <c r="U631" i="2" s="1"/>
  <c r="V631" i="2" s="1"/>
  <c r="R569" i="2"/>
  <c r="T569" i="2" s="1"/>
  <c r="U569" i="2" s="1"/>
  <c r="V569" i="2" s="1"/>
  <c r="R242" i="2"/>
  <c r="T242" i="2" s="1"/>
  <c r="U242" i="2" s="1"/>
  <c r="V242" i="2" s="1"/>
  <c r="R394" i="2"/>
  <c r="R451" i="2"/>
  <c r="T451" i="2" s="1"/>
  <c r="U451" i="2" s="1"/>
  <c r="V451" i="2" s="1"/>
  <c r="R511" i="2"/>
  <c r="T511" i="2" s="1"/>
  <c r="U511" i="2" s="1"/>
  <c r="V511" i="2" s="1"/>
  <c r="R566" i="2"/>
  <c r="T566" i="2" s="1"/>
  <c r="U566" i="2" s="1"/>
  <c r="V566" i="2" s="1"/>
  <c r="R628" i="2"/>
  <c r="T628" i="2" s="1"/>
  <c r="U628" i="2" s="1"/>
  <c r="V628" i="2" s="1"/>
  <c r="R283" i="2"/>
  <c r="T283" i="2" s="1"/>
  <c r="U283" i="2" s="1"/>
  <c r="V283" i="2" s="1"/>
  <c r="R128" i="2"/>
  <c r="T128" i="2" s="1"/>
  <c r="U128" i="2" s="1"/>
  <c r="V128" i="2" s="1"/>
  <c r="R397" i="2"/>
  <c r="T397" i="2" s="1"/>
  <c r="U397" i="2" s="1"/>
  <c r="V397" i="2" s="1"/>
  <c r="R354" i="2"/>
  <c r="T354" i="2" s="1"/>
  <c r="U354" i="2" s="1"/>
  <c r="V354" i="2" s="1"/>
  <c r="R240" i="2"/>
  <c r="R299" i="2"/>
  <c r="T299" i="2" s="1"/>
  <c r="U299" i="2" s="1"/>
  <c r="V299" i="2" s="1"/>
  <c r="R356" i="2"/>
  <c r="T356" i="2" s="1"/>
  <c r="U356" i="2" s="1"/>
  <c r="V356" i="2" s="1"/>
  <c r="R183" i="2"/>
  <c r="T183" i="2" s="1"/>
  <c r="U183" i="2" s="1"/>
  <c r="V183" i="2" s="1"/>
  <c r="R69" i="2"/>
  <c r="T69" i="2" s="1"/>
  <c r="U69" i="2" s="1"/>
  <c r="V69" i="2" s="1"/>
  <c r="R514" i="2"/>
  <c r="T514" i="2" s="1"/>
  <c r="U514" i="2" s="1"/>
  <c r="V514" i="2" s="1"/>
  <c r="R12" i="2"/>
  <c r="T12" i="2" s="1"/>
  <c r="U12" i="2" s="1"/>
  <c r="V12" i="2" s="1"/>
  <c r="R413" i="2"/>
  <c r="R589" i="2"/>
  <c r="R634" i="2"/>
  <c r="T634" i="2" s="1"/>
  <c r="U634" i="2" s="1"/>
  <c r="V634" i="2" s="1"/>
  <c r="R527" i="2"/>
  <c r="T527" i="2" s="1"/>
  <c r="U527" i="2" s="1"/>
  <c r="V527" i="2" s="1"/>
  <c r="R184" i="2"/>
  <c r="R469" i="2"/>
  <c r="T469" i="2" s="1"/>
  <c r="U469" i="2" s="1"/>
  <c r="V469" i="2" s="1"/>
  <c r="Q206" i="2"/>
  <c r="Q184" i="2"/>
  <c r="Q616" i="2"/>
  <c r="Q1259" i="2"/>
  <c r="Q1285" i="2" s="1"/>
  <c r="Q838" i="2"/>
  <c r="Q880" i="2"/>
  <c r="Q1118" i="2"/>
  <c r="Q268" i="2"/>
  <c r="Q39" i="2"/>
  <c r="Q496" i="2"/>
  <c r="Q611" i="2"/>
  <c r="P1285" i="2"/>
  <c r="P954" i="2"/>
  <c r="P837" i="2"/>
  <c r="Q377" i="2"/>
  <c r="Q92" i="2"/>
  <c r="Q554" i="2"/>
  <c r="O362" i="2"/>
  <c r="O134" i="2"/>
  <c r="O596" i="2"/>
  <c r="O410" i="2"/>
  <c r="O419" i="2"/>
  <c r="O476" i="2"/>
  <c r="O534" i="2"/>
  <c r="O587" i="2"/>
  <c r="O239" i="2"/>
  <c r="O19" i="2"/>
  <c r="O125" i="2"/>
  <c r="O10" i="2"/>
  <c r="O353" i="2"/>
  <c r="O467" i="2"/>
  <c r="O182" i="2"/>
  <c r="O296" i="2"/>
  <c r="O77" i="2"/>
  <c r="O525" i="2"/>
  <c r="O248" i="2"/>
  <c r="O68" i="2"/>
  <c r="O191" i="2"/>
  <c r="O305" i="2"/>
  <c r="O985" i="2"/>
  <c r="O965" i="2"/>
  <c r="Q263" i="2"/>
  <c r="Q491" i="2"/>
  <c r="Q149" i="2"/>
  <c r="Q34" i="2"/>
  <c r="Q1184" i="2" s="1"/>
  <c r="Q382" i="2"/>
  <c r="K305" i="2" l="1"/>
  <c r="R830" i="2"/>
  <c r="T830" i="2" s="1"/>
  <c r="U830" i="2" s="1"/>
  <c r="V830" i="2" s="1"/>
  <c r="Q10" i="2"/>
  <c r="Q191" i="2"/>
  <c r="Q19" i="2"/>
  <c r="Q596" i="2"/>
  <c r="Q419" i="2"/>
  <c r="Q525" i="2"/>
  <c r="Q77" i="2"/>
  <c r="Q182" i="2"/>
  <c r="Q1170" i="2" s="1"/>
  <c r="Q134" i="2"/>
  <c r="Q1258" i="2" s="1"/>
  <c r="Q1284" i="2" s="1"/>
  <c r="Q68" i="2"/>
  <c r="Q248" i="2"/>
  <c r="Q353" i="2"/>
  <c r="Q467" i="2"/>
  <c r="Q476" i="2"/>
  <c r="Q239" i="2"/>
  <c r="Q587" i="2"/>
  <c r="Q305" i="2"/>
  <c r="F1177" i="2"/>
  <c r="F186" i="2"/>
  <c r="F1166" i="2"/>
  <c r="G1165" i="2"/>
  <c r="G1166" i="2" s="1"/>
  <c r="G1167" i="2" s="1"/>
  <c r="I1165" i="2"/>
  <c r="I1166" i="2" s="1"/>
  <c r="H1165" i="2"/>
  <c r="H1166" i="2" s="1"/>
  <c r="J1165" i="2"/>
  <c r="J1166" i="2" s="1"/>
  <c r="J1167" i="2" s="1"/>
  <c r="K1165" i="2"/>
  <c r="K1166" i="2" s="1"/>
  <c r="K1167" i="2" s="1"/>
  <c r="L1165" i="2"/>
  <c r="L1166" i="2" s="1"/>
  <c r="M1165" i="2"/>
  <c r="M1166" i="2" s="1"/>
  <c r="N1165" i="2"/>
  <c r="N1166" i="2" s="1"/>
  <c r="N1167" i="2" s="1"/>
  <c r="O1165" i="2"/>
  <c r="O1166" i="2" s="1"/>
  <c r="O1167" i="2" s="1"/>
  <c r="P1165" i="2"/>
  <c r="P1166" i="2" s="1"/>
  <c r="Q1165" i="2"/>
  <c r="Q1166" i="2" s="1"/>
  <c r="Q1167" i="2" s="1"/>
  <c r="AL277" i="1"/>
  <c r="AK303" i="1"/>
  <c r="AL303" i="1" s="1"/>
  <c r="P362" i="2"/>
  <c r="P296" i="2"/>
  <c r="P68" i="2"/>
  <c r="P525" i="2"/>
  <c r="P587" i="2"/>
  <c r="P134" i="2"/>
  <c r="P1258" i="2" s="1"/>
  <c r="P1284" i="2" s="1"/>
  <c r="P125" i="2"/>
  <c r="P1255" i="2" s="1"/>
  <c r="P1281" i="2" s="1"/>
  <c r="P239" i="2"/>
  <c r="P419" i="2"/>
  <c r="P596" i="2"/>
  <c r="P410" i="2"/>
  <c r="P248" i="2"/>
  <c r="P10" i="2"/>
  <c r="P534" i="2"/>
  <c r="P77" i="2"/>
  <c r="P191" i="2"/>
  <c r="P476" i="2"/>
  <c r="P353" i="2"/>
  <c r="P182" i="2"/>
  <c r="P1170" i="2" s="1"/>
  <c r="P19" i="2"/>
  <c r="P467" i="2"/>
  <c r="P305" i="2"/>
  <c r="L191" i="2"/>
  <c r="L419" i="2"/>
  <c r="L587" i="2"/>
  <c r="L525" i="2"/>
  <c r="L410" i="2"/>
  <c r="L467" i="2"/>
  <c r="L305" i="2"/>
  <c r="L296" i="2"/>
  <c r="L19" i="2"/>
  <c r="L125" i="2"/>
  <c r="L1255" i="2" s="1"/>
  <c r="L1281" i="2" s="1"/>
  <c r="L10" i="2"/>
  <c r="L353" i="2"/>
  <c r="L476" i="2"/>
  <c r="L134" i="2"/>
  <c r="L1258" i="2" s="1"/>
  <c r="L1284" i="2" s="1"/>
  <c r="L596" i="2"/>
  <c r="L239" i="2"/>
  <c r="L68" i="2"/>
  <c r="L534" i="2"/>
  <c r="L248" i="2"/>
  <c r="L77" i="2"/>
  <c r="L362" i="2"/>
  <c r="L182" i="2"/>
  <c r="L1170" i="2" s="1"/>
  <c r="F214" i="2"/>
  <c r="AB597" i="1"/>
  <c r="AK597" i="1" s="1"/>
  <c r="AL597" i="1" s="1"/>
  <c r="AB330" i="1"/>
  <c r="AK330" i="1" s="1"/>
  <c r="AL330" i="1" s="1"/>
  <c r="H112" i="1"/>
  <c r="H651" i="1"/>
  <c r="I19" i="2"/>
  <c r="I305" i="2"/>
  <c r="I476" i="2"/>
  <c r="I410" i="2"/>
  <c r="I77" i="2"/>
  <c r="I10" i="2"/>
  <c r="I353" i="2"/>
  <c r="I419" i="2"/>
  <c r="I587" i="2"/>
  <c r="I467" i="2"/>
  <c r="I182" i="2"/>
  <c r="I1170" i="2" s="1"/>
  <c r="I134" i="2"/>
  <c r="I1258" i="2" s="1"/>
  <c r="I1284" i="2" s="1"/>
  <c r="I362" i="2"/>
  <c r="I125" i="2"/>
  <c r="I1255" i="2" s="1"/>
  <c r="I1281" i="2" s="1"/>
  <c r="I534" i="2"/>
  <c r="I239" i="2"/>
  <c r="I191" i="2"/>
  <c r="I68" i="2"/>
  <c r="I296" i="2"/>
  <c r="I596" i="2"/>
  <c r="I525" i="2"/>
  <c r="I248" i="2"/>
  <c r="R563" i="2"/>
  <c r="T563" i="2" s="1"/>
  <c r="U563" i="2" s="1"/>
  <c r="V563" i="2" s="1"/>
  <c r="R411" i="2"/>
  <c r="T411" i="2" s="1"/>
  <c r="U411" i="2" s="1"/>
  <c r="V411" i="2" s="1"/>
  <c r="R355" i="2"/>
  <c r="T355" i="2" s="1"/>
  <c r="U355" i="2" s="1"/>
  <c r="V355" i="2" s="1"/>
  <c r="R185" i="2"/>
  <c r="T185" i="2" s="1"/>
  <c r="U185" i="2" s="1"/>
  <c r="V185" i="2" s="1"/>
  <c r="R241" i="2"/>
  <c r="T241" i="2" s="1"/>
  <c r="U241" i="2" s="1"/>
  <c r="V241" i="2" s="1"/>
  <c r="R470" i="2"/>
  <c r="T470" i="2" s="1"/>
  <c r="U470" i="2" s="1"/>
  <c r="V470" i="2" s="1"/>
  <c r="R412" i="2"/>
  <c r="T412" i="2" s="1"/>
  <c r="U412" i="2" s="1"/>
  <c r="V412" i="2" s="1"/>
  <c r="R11" i="2"/>
  <c r="T11" i="2" s="1"/>
  <c r="U11" i="2" s="1"/>
  <c r="V11" i="2" s="1"/>
  <c r="R71" i="2"/>
  <c r="T71" i="2" s="1"/>
  <c r="U71" i="2" s="1"/>
  <c r="V71" i="2" s="1"/>
  <c r="R526" i="2"/>
  <c r="T526" i="2" s="1"/>
  <c r="U526" i="2" s="1"/>
  <c r="V526" i="2" s="1"/>
  <c r="R590" i="2"/>
  <c r="T590" i="2" s="1"/>
  <c r="U590" i="2" s="1"/>
  <c r="V590" i="2" s="1"/>
  <c r="R70" i="2"/>
  <c r="R13" i="2"/>
  <c r="T13" i="2" s="1"/>
  <c r="U13" i="2" s="1"/>
  <c r="V13" i="2" s="1"/>
  <c r="R468" i="2"/>
  <c r="T468" i="2" s="1"/>
  <c r="U468" i="2" s="1"/>
  <c r="V468" i="2" s="1"/>
  <c r="R297" i="2"/>
  <c r="T297" i="2" s="1"/>
  <c r="U297" i="2" s="1"/>
  <c r="V297" i="2" s="1"/>
  <c r="R127" i="2"/>
  <c r="R1259" i="2" s="1"/>
  <c r="T1259" i="2" s="1"/>
  <c r="U1259" i="2" s="1"/>
  <c r="V1259" i="2" s="1"/>
  <c r="R588" i="2"/>
  <c r="T588" i="2" s="1"/>
  <c r="U588" i="2" s="1"/>
  <c r="V588" i="2" s="1"/>
  <c r="R528" i="2"/>
  <c r="T528" i="2" s="1"/>
  <c r="U528" i="2" s="1"/>
  <c r="V528" i="2" s="1"/>
  <c r="R625" i="2"/>
  <c r="T625" i="2" s="1"/>
  <c r="U625" i="2" s="1"/>
  <c r="V625" i="2" s="1"/>
  <c r="T70" i="2"/>
  <c r="U70" i="2" s="1"/>
  <c r="V70" i="2" s="1"/>
  <c r="R400" i="2"/>
  <c r="T400" i="2" s="1"/>
  <c r="U400" i="2" s="1"/>
  <c r="V400" i="2" s="1"/>
  <c r="T240" i="2"/>
  <c r="U240" i="2" s="1"/>
  <c r="V240" i="2" s="1"/>
  <c r="R448" i="2"/>
  <c r="T448" i="2" s="1"/>
  <c r="U448" i="2" s="1"/>
  <c r="V448" i="2" s="1"/>
  <c r="R286" i="2"/>
  <c r="T286" i="2" s="1"/>
  <c r="U286" i="2" s="1"/>
  <c r="V286" i="2" s="1"/>
  <c r="T413" i="2"/>
  <c r="U413" i="2" s="1"/>
  <c r="V413" i="2" s="1"/>
  <c r="R457" i="2"/>
  <c r="T457" i="2" s="1"/>
  <c r="U457" i="2" s="1"/>
  <c r="V457" i="2" s="1"/>
  <c r="R572" i="2"/>
  <c r="T572" i="2" s="1"/>
  <c r="U572" i="2" s="1"/>
  <c r="V572" i="2" s="1"/>
  <c r="R277" i="2"/>
  <c r="T277" i="2" s="1"/>
  <c r="U277" i="2" s="1"/>
  <c r="V277" i="2" s="1"/>
  <c r="R505" i="2"/>
  <c r="T505" i="2" s="1"/>
  <c r="U505" i="2" s="1"/>
  <c r="V505" i="2" s="1"/>
  <c r="T589" i="2"/>
  <c r="U589" i="2" s="1"/>
  <c r="V589" i="2" s="1"/>
  <c r="T394" i="2"/>
  <c r="U394" i="2" s="1"/>
  <c r="V394" i="2" s="1"/>
  <c r="T454" i="2"/>
  <c r="U454" i="2" s="1"/>
  <c r="V454" i="2" s="1"/>
  <c r="R334" i="2"/>
  <c r="T334" i="2" s="1"/>
  <c r="U334" i="2" s="1"/>
  <c r="V334" i="2" s="1"/>
  <c r="R220" i="2"/>
  <c r="T220" i="2" s="1"/>
  <c r="U220" i="2" s="1"/>
  <c r="V220" i="2" s="1"/>
  <c r="T184" i="2"/>
  <c r="U184" i="2" s="1"/>
  <c r="V184" i="2" s="1"/>
  <c r="T195" i="2"/>
  <c r="U195" i="2" s="1"/>
  <c r="V195" i="2" s="1"/>
  <c r="R206" i="2"/>
  <c r="T206" i="2" s="1"/>
  <c r="U206" i="2" s="1"/>
  <c r="V206" i="2" s="1"/>
  <c r="T201" i="2"/>
  <c r="U201" i="2" s="1"/>
  <c r="V201" i="2" s="1"/>
  <c r="R320" i="2"/>
  <c r="T320" i="2" s="1"/>
  <c r="U320" i="2" s="1"/>
  <c r="V320" i="2" s="1"/>
  <c r="T315" i="2"/>
  <c r="U315" i="2" s="1"/>
  <c r="V315" i="2" s="1"/>
  <c r="R831" i="2"/>
  <c r="T831" i="2" s="1"/>
  <c r="U831" i="2" s="1"/>
  <c r="V831" i="2" s="1"/>
  <c r="T805" i="2"/>
  <c r="U805" i="2" s="1"/>
  <c r="V805" i="2" s="1"/>
  <c r="R343" i="2"/>
  <c r="T343" i="2" s="1"/>
  <c r="U343" i="2" s="1"/>
  <c r="V343" i="2" s="1"/>
  <c r="T1108" i="2"/>
  <c r="U1108" i="2" s="1"/>
  <c r="V1108" i="2" s="1"/>
  <c r="R616" i="2"/>
  <c r="T616" i="2" s="1"/>
  <c r="U616" i="2" s="1"/>
  <c r="V616" i="2" s="1"/>
  <c r="T614" i="2"/>
  <c r="U614" i="2" s="1"/>
  <c r="V614" i="2" s="1"/>
  <c r="R391" i="2"/>
  <c r="T391" i="2" s="1"/>
  <c r="U391" i="2" s="1"/>
  <c r="V391" i="2" s="1"/>
  <c r="R92" i="2"/>
  <c r="T92" i="2" s="1"/>
  <c r="U92" i="2" s="1"/>
  <c r="V92" i="2" s="1"/>
  <c r="T87" i="2"/>
  <c r="U87" i="2" s="1"/>
  <c r="V87" i="2" s="1"/>
  <c r="T203" i="2"/>
  <c r="U203" i="2" s="1"/>
  <c r="V203" i="2" s="1"/>
  <c r="T794" i="2"/>
  <c r="U794" i="2" s="1"/>
  <c r="V794" i="2" s="1"/>
  <c r="O1258" i="2"/>
  <c r="T146" i="2"/>
  <c r="U146" i="2" s="1"/>
  <c r="V146" i="2" s="1"/>
  <c r="R1084" i="2"/>
  <c r="T1084" i="2" s="1"/>
  <c r="U1084" i="2" s="1"/>
  <c r="V1084" i="2" s="1"/>
  <c r="T1072" i="2"/>
  <c r="U1072" i="2" s="1"/>
  <c r="V1072" i="2" s="1"/>
  <c r="R154" i="2"/>
  <c r="T154" i="2" s="1"/>
  <c r="U154" i="2" s="1"/>
  <c r="V154" i="2" s="1"/>
  <c r="T152" i="2"/>
  <c r="U152" i="2" s="1"/>
  <c r="V152" i="2" s="1"/>
  <c r="R97" i="2"/>
  <c r="T97" i="2" s="1"/>
  <c r="U97" i="2" s="1"/>
  <c r="V97" i="2" s="1"/>
  <c r="T95" i="2"/>
  <c r="U95" i="2" s="1"/>
  <c r="V95" i="2" s="1"/>
  <c r="R554" i="2"/>
  <c r="T554" i="2" s="1"/>
  <c r="U554" i="2" s="1"/>
  <c r="V554" i="2" s="1"/>
  <c r="T552" i="2"/>
  <c r="U552" i="2" s="1"/>
  <c r="V552" i="2" s="1"/>
  <c r="R1037" i="2"/>
  <c r="T1037" i="2" s="1"/>
  <c r="U1037" i="2" s="1"/>
  <c r="T1025" i="2"/>
  <c r="U1025" i="2" s="1"/>
  <c r="R439" i="2"/>
  <c r="T439" i="2" s="1"/>
  <c r="U439" i="2" s="1"/>
  <c r="V439" i="2" s="1"/>
  <c r="T437" i="2"/>
  <c r="U437" i="2" s="1"/>
  <c r="V437" i="2" s="1"/>
  <c r="R434" i="2"/>
  <c r="T434" i="2" s="1"/>
  <c r="U434" i="2" s="1"/>
  <c r="V434" i="2" s="1"/>
  <c r="T429" i="2"/>
  <c r="U429" i="2" s="1"/>
  <c r="V429" i="2" s="1"/>
  <c r="R1166" i="2"/>
  <c r="R280" i="2"/>
  <c r="T280" i="2" s="1"/>
  <c r="U280" i="2" s="1"/>
  <c r="V280" i="2" s="1"/>
  <c r="T1107" i="2"/>
  <c r="U1107" i="2" s="1"/>
  <c r="V1107" i="2" s="1"/>
  <c r="R211" i="2"/>
  <c r="T211" i="2" s="1"/>
  <c r="U211" i="2" s="1"/>
  <c r="V211" i="2" s="1"/>
  <c r="T209" i="2"/>
  <c r="U209" i="2" s="1"/>
  <c r="V209" i="2" s="1"/>
  <c r="P965" i="2"/>
  <c r="P985" i="2"/>
  <c r="T126" i="2"/>
  <c r="U126" i="2" s="1"/>
  <c r="V126" i="2" s="1"/>
  <c r="R611" i="2"/>
  <c r="T611" i="2" s="1"/>
  <c r="U611" i="2" s="1"/>
  <c r="V611" i="2" s="1"/>
  <c r="T606" i="2"/>
  <c r="U606" i="2" s="1"/>
  <c r="V606" i="2" s="1"/>
  <c r="R838" i="2"/>
  <c r="T838" i="2" s="1"/>
  <c r="U838" i="2" s="1"/>
  <c r="V838" i="2" s="1"/>
  <c r="R880" i="2"/>
  <c r="T651" i="2"/>
  <c r="U651" i="2" s="1"/>
  <c r="V651" i="2" s="1"/>
  <c r="R268" i="2"/>
  <c r="T268" i="2" s="1"/>
  <c r="U268" i="2" s="1"/>
  <c r="V268" i="2" s="1"/>
  <c r="T266" i="2"/>
  <c r="U266" i="2" s="1"/>
  <c r="V266" i="2" s="1"/>
  <c r="T825" i="2"/>
  <c r="U825" i="2" s="1"/>
  <c r="V825" i="2" s="1"/>
  <c r="R149" i="2"/>
  <c r="T149" i="2" s="1"/>
  <c r="U149" i="2" s="1"/>
  <c r="V149" i="2" s="1"/>
  <c r="T144" i="2"/>
  <c r="U144" i="2" s="1"/>
  <c r="V144" i="2" s="1"/>
  <c r="R496" i="2"/>
  <c r="T496" i="2" s="1"/>
  <c r="U496" i="2" s="1"/>
  <c r="V496" i="2" s="1"/>
  <c r="T494" i="2"/>
  <c r="U494" i="2" s="1"/>
  <c r="V494" i="2" s="1"/>
  <c r="R34" i="2"/>
  <c r="T29" i="2"/>
  <c r="U29" i="2" s="1"/>
  <c r="V29" i="2" s="1"/>
  <c r="R1118" i="2"/>
  <c r="P1134" i="2" s="1"/>
  <c r="T1115" i="2"/>
  <c r="U1115" i="2" s="1"/>
  <c r="R1173" i="2"/>
  <c r="T1172" i="2"/>
  <c r="U1172" i="2" s="1"/>
  <c r="V1172" i="2" s="1"/>
  <c r="R39" i="2"/>
  <c r="T39" i="2" s="1"/>
  <c r="U39" i="2" s="1"/>
  <c r="V39" i="2" s="1"/>
  <c r="T37" i="2"/>
  <c r="U37" i="2" s="1"/>
  <c r="V37" i="2" s="1"/>
  <c r="R1260" i="2"/>
  <c r="T138" i="2"/>
  <c r="U138" i="2" s="1"/>
  <c r="V138" i="2" s="1"/>
  <c r="Q954" i="2"/>
  <c r="Q837" i="2"/>
  <c r="O1170" i="2"/>
  <c r="O1255" i="2"/>
  <c r="R491" i="2"/>
  <c r="T491" i="2" s="1"/>
  <c r="U491" i="2" s="1"/>
  <c r="V491" i="2" s="1"/>
  <c r="T486" i="2"/>
  <c r="U486" i="2" s="1"/>
  <c r="V486" i="2" s="1"/>
  <c r="R263" i="2"/>
  <c r="T263" i="2" s="1"/>
  <c r="U263" i="2" s="1"/>
  <c r="V263" i="2" s="1"/>
  <c r="T258" i="2"/>
  <c r="U258" i="2" s="1"/>
  <c r="V258" i="2" s="1"/>
  <c r="R549" i="2"/>
  <c r="T549" i="2" s="1"/>
  <c r="U549" i="2" s="1"/>
  <c r="V549" i="2" s="1"/>
  <c r="T544" i="2"/>
  <c r="U544" i="2" s="1"/>
  <c r="V544" i="2" s="1"/>
  <c r="R377" i="2"/>
  <c r="T377" i="2" s="1"/>
  <c r="U377" i="2" s="1"/>
  <c r="V377" i="2" s="1"/>
  <c r="T372" i="2"/>
  <c r="U372" i="2" s="1"/>
  <c r="V372" i="2" s="1"/>
  <c r="R325" i="2"/>
  <c r="T325" i="2" s="1"/>
  <c r="U325" i="2" s="1"/>
  <c r="V325" i="2" s="1"/>
  <c r="T323" i="2"/>
  <c r="U323" i="2" s="1"/>
  <c r="V323" i="2" s="1"/>
  <c r="R382" i="2"/>
  <c r="T382" i="2" s="1"/>
  <c r="U382" i="2" s="1"/>
  <c r="V382" i="2" s="1"/>
  <c r="T380" i="2"/>
  <c r="U380" i="2" s="1"/>
  <c r="V380" i="2" s="1"/>
  <c r="R654" i="2"/>
  <c r="T654" i="2" s="1"/>
  <c r="U654" i="2" s="1"/>
  <c r="V654" i="2" s="1"/>
  <c r="T1100" i="2"/>
  <c r="U1100" i="2" s="1"/>
  <c r="V1100" i="2" s="1"/>
  <c r="T1165" i="2" l="1"/>
  <c r="U1165" i="2" s="1"/>
  <c r="V1165" i="2" s="1"/>
  <c r="H1167" i="2"/>
  <c r="T127" i="2"/>
  <c r="U127" i="2" s="1"/>
  <c r="V127" i="2" s="1"/>
  <c r="Q466" i="2"/>
  <c r="Q238" i="2"/>
  <c r="Q524" i="2"/>
  <c r="Q124" i="2"/>
  <c r="Q1254" i="2" s="1"/>
  <c r="Q1280" i="2" s="1"/>
  <c r="Q18" i="2"/>
  <c r="Q595" i="2"/>
  <c r="Q418" i="2"/>
  <c r="Q352" i="2"/>
  <c r="Q181" i="2"/>
  <c r="Q1163" i="2" s="1"/>
  <c r="Q361" i="2"/>
  <c r="Q76" i="2"/>
  <c r="Q67" i="2"/>
  <c r="Q190" i="2"/>
  <c r="Q533" i="2"/>
  <c r="Q586" i="2"/>
  <c r="Q475" i="2"/>
  <c r="Q409" i="2"/>
  <c r="Q295" i="2"/>
  <c r="Q247" i="2"/>
  <c r="Q304" i="2"/>
  <c r="Q9" i="2"/>
  <c r="Q1189" i="2" s="1"/>
  <c r="Q133" i="2"/>
  <c r="Q1257" i="2" s="1"/>
  <c r="Q1283" i="2" s="1"/>
  <c r="H238" i="2"/>
  <c r="H352" i="2"/>
  <c r="H475" i="2"/>
  <c r="H124" i="2"/>
  <c r="H1254" i="2" s="1"/>
  <c r="H1280" i="2" s="1"/>
  <c r="H586" i="2"/>
  <c r="H67" i="2"/>
  <c r="H76" i="2"/>
  <c r="H18" i="2"/>
  <c r="H133" i="2"/>
  <c r="H1257" i="2" s="1"/>
  <c r="H1283" i="2" s="1"/>
  <c r="H409" i="2"/>
  <c r="H361" i="2"/>
  <c r="H524" i="2"/>
  <c r="H418" i="2"/>
  <c r="H181" i="2"/>
  <c r="H9" i="2"/>
  <c r="H1189" i="2" s="1"/>
  <c r="H466" i="2"/>
  <c r="H190" i="2"/>
  <c r="H247" i="2"/>
  <c r="H595" i="2"/>
  <c r="H533" i="2"/>
  <c r="H295" i="2"/>
  <c r="H304" i="2"/>
  <c r="F1308" i="2"/>
  <c r="F231" i="2"/>
  <c r="J214" i="2"/>
  <c r="K214" i="2"/>
  <c r="H214" i="2"/>
  <c r="I214" i="2"/>
  <c r="G214" i="2"/>
  <c r="I28" i="14" s="1"/>
  <c r="L214" i="2"/>
  <c r="I28" i="20" s="1"/>
  <c r="M214" i="2"/>
  <c r="I28" i="21" s="1"/>
  <c r="N214" i="2"/>
  <c r="I28" i="25" s="1"/>
  <c r="O214" i="2"/>
  <c r="I28" i="26" s="1"/>
  <c r="P214" i="2"/>
  <c r="Q214" i="2"/>
  <c r="R214" i="2"/>
  <c r="H116" i="1"/>
  <c r="O67" i="2"/>
  <c r="O418" i="2"/>
  <c r="O190" i="2"/>
  <c r="O295" i="2"/>
  <c r="O475" i="2"/>
  <c r="O124" i="2"/>
  <c r="O1254" i="2" s="1"/>
  <c r="O1280" i="2" s="1"/>
  <c r="O586" i="2"/>
  <c r="O18" i="2"/>
  <c r="O76" i="2"/>
  <c r="O247" i="2"/>
  <c r="O524" i="2"/>
  <c r="O304" i="2"/>
  <c r="O9" i="2"/>
  <c r="O1189" i="2" s="1"/>
  <c r="O352" i="2"/>
  <c r="O361" i="2"/>
  <c r="O466" i="2"/>
  <c r="O595" i="2"/>
  <c r="O409" i="2"/>
  <c r="O238" i="2"/>
  <c r="O533" i="2"/>
  <c r="O133" i="2"/>
  <c r="O1257" i="2" s="1"/>
  <c r="O1283" i="2" s="1"/>
  <c r="O181" i="2"/>
  <c r="O1163" i="2" s="1"/>
  <c r="K247" i="2"/>
  <c r="K524" i="2"/>
  <c r="K295" i="2"/>
  <c r="K409" i="2"/>
  <c r="K533" i="2"/>
  <c r="K124" i="2"/>
  <c r="K1254" i="2" s="1"/>
  <c r="K1280" i="2" s="1"/>
  <c r="K18" i="2"/>
  <c r="K190" i="2"/>
  <c r="K9" i="2"/>
  <c r="K1189" i="2" s="1"/>
  <c r="K361" i="2"/>
  <c r="K595" i="2"/>
  <c r="K133" i="2"/>
  <c r="K1257" i="2" s="1"/>
  <c r="K1283" i="2" s="1"/>
  <c r="K466" i="2"/>
  <c r="K586" i="2"/>
  <c r="K76" i="2"/>
  <c r="K418" i="2"/>
  <c r="K238" i="2"/>
  <c r="K304" i="2"/>
  <c r="K181" i="2"/>
  <c r="K475" i="2"/>
  <c r="K67" i="2"/>
  <c r="K352" i="2"/>
  <c r="G67" i="2"/>
  <c r="G466" i="2"/>
  <c r="G247" i="2"/>
  <c r="G304" i="2"/>
  <c r="G475" i="2"/>
  <c r="G9" i="2"/>
  <c r="G1189" i="2" s="1"/>
  <c r="G181" i="2"/>
  <c r="G1163" i="2" s="1"/>
  <c r="G418" i="2"/>
  <c r="G133" i="2"/>
  <c r="G1257" i="2" s="1"/>
  <c r="G1283" i="2" s="1"/>
  <c r="G409" i="2"/>
  <c r="G18" i="2"/>
  <c r="G533" i="2"/>
  <c r="G361" i="2"/>
  <c r="G595" i="2"/>
  <c r="G295" i="2"/>
  <c r="G238" i="2"/>
  <c r="G190" i="2"/>
  <c r="G124" i="2"/>
  <c r="G1254" i="2" s="1"/>
  <c r="G1280" i="2" s="1"/>
  <c r="G352" i="2"/>
  <c r="G524" i="2"/>
  <c r="G586" i="2"/>
  <c r="G76" i="2"/>
  <c r="F1179" i="2"/>
  <c r="T1177" i="2"/>
  <c r="U1177" i="2" s="1"/>
  <c r="AB651" i="1"/>
  <c r="AK651" i="1" s="1"/>
  <c r="AL651" i="1" s="1"/>
  <c r="AB112" i="1"/>
  <c r="AB116" i="1" s="1"/>
  <c r="AB144" i="1" s="1"/>
  <c r="F157" i="2" s="1"/>
  <c r="N124" i="2"/>
  <c r="N1254" i="2" s="1"/>
  <c r="N1280" i="2" s="1"/>
  <c r="N181" i="2"/>
  <c r="N1163" i="2" s="1"/>
  <c r="N524" i="2"/>
  <c r="N586" i="2"/>
  <c r="N295" i="2"/>
  <c r="N133" i="2"/>
  <c r="N1257" i="2" s="1"/>
  <c r="N1283" i="2" s="1"/>
  <c r="N304" i="2"/>
  <c r="N238" i="2"/>
  <c r="N352" i="2"/>
  <c r="N595" i="2"/>
  <c r="N361" i="2"/>
  <c r="N418" i="2"/>
  <c r="N76" i="2"/>
  <c r="N466" i="2"/>
  <c r="N67" i="2"/>
  <c r="N533" i="2"/>
  <c r="N9" i="2"/>
  <c r="N1189" i="2" s="1"/>
  <c r="N18" i="2"/>
  <c r="N190" i="2"/>
  <c r="N475" i="2"/>
  <c r="N247" i="2"/>
  <c r="N409" i="2"/>
  <c r="J124" i="2"/>
  <c r="J1254" i="2" s="1"/>
  <c r="J1280" i="2" s="1"/>
  <c r="J18" i="2"/>
  <c r="J181" i="2"/>
  <c r="J9" i="2"/>
  <c r="J1189" i="2" s="1"/>
  <c r="J238" i="2"/>
  <c r="J533" i="2"/>
  <c r="J475" i="2"/>
  <c r="J247" i="2"/>
  <c r="J190" i="2"/>
  <c r="J67" i="2"/>
  <c r="J76" i="2"/>
  <c r="J418" i="2"/>
  <c r="J409" i="2"/>
  <c r="J595" i="2"/>
  <c r="J295" i="2"/>
  <c r="J133" i="2"/>
  <c r="J1257" i="2" s="1"/>
  <c r="J1283" i="2" s="1"/>
  <c r="J361" i="2"/>
  <c r="J352" i="2"/>
  <c r="J466" i="2"/>
  <c r="J524" i="2"/>
  <c r="J304" i="2"/>
  <c r="J586" i="2"/>
  <c r="I1167" i="2"/>
  <c r="L1167" i="2"/>
  <c r="M1167" i="2"/>
  <c r="P1167" i="2"/>
  <c r="R1286" i="2"/>
  <c r="T1260" i="2"/>
  <c r="U1260" i="2" s="1"/>
  <c r="V1260" i="2" s="1"/>
  <c r="R1174" i="2"/>
  <c r="T1173" i="2"/>
  <c r="U1173" i="2" s="1"/>
  <c r="V1173" i="2" s="1"/>
  <c r="R1184" i="2"/>
  <c r="T34" i="2"/>
  <c r="U34" i="2" s="1"/>
  <c r="V34" i="2" s="1"/>
  <c r="O680" i="2"/>
  <c r="O822" i="2"/>
  <c r="R1167" i="2"/>
  <c r="T1166" i="2"/>
  <c r="U1166" i="2" s="1"/>
  <c r="V1166" i="2" s="1"/>
  <c r="Q985" i="2"/>
  <c r="Q965" i="2"/>
  <c r="R1134" i="2"/>
  <c r="T1118" i="2"/>
  <c r="U1118" i="2" s="1"/>
  <c r="V1118" i="2" s="1"/>
  <c r="O1134" i="2"/>
  <c r="O1281" i="2"/>
  <c r="R1285" i="2"/>
  <c r="Q1134" i="2"/>
  <c r="O1284" i="2"/>
  <c r="P295" i="2" l="1"/>
  <c r="P238" i="2"/>
  <c r="P190" i="2"/>
  <c r="P352" i="2"/>
  <c r="P247" i="2"/>
  <c r="P466" i="2"/>
  <c r="P524" i="2"/>
  <c r="P361" i="2"/>
  <c r="P586" i="2"/>
  <c r="P67" i="2"/>
  <c r="P475" i="2"/>
  <c r="P409" i="2"/>
  <c r="P181" i="2"/>
  <c r="P1163" i="2" s="1"/>
  <c r="P9" i="2"/>
  <c r="P1189" i="2" s="1"/>
  <c r="P595" i="2"/>
  <c r="P133" i="2"/>
  <c r="P1257" i="2" s="1"/>
  <c r="P1283" i="2" s="1"/>
  <c r="P533" i="2"/>
  <c r="P18" i="2"/>
  <c r="P304" i="2"/>
  <c r="P76" i="2"/>
  <c r="P418" i="2"/>
  <c r="P124" i="2"/>
  <c r="P1254" i="2" s="1"/>
  <c r="P1280" i="2" s="1"/>
  <c r="J157" i="2"/>
  <c r="K157" i="2"/>
  <c r="I157" i="2"/>
  <c r="H157" i="2"/>
  <c r="G157" i="2"/>
  <c r="L157" i="2"/>
  <c r="M157" i="2"/>
  <c r="N157" i="2"/>
  <c r="O157" i="2"/>
  <c r="F1261" i="2"/>
  <c r="P157" i="2"/>
  <c r="P1261" i="2" s="1"/>
  <c r="P1287" i="2" s="1"/>
  <c r="Q157" i="2"/>
  <c r="Q1261" i="2" s="1"/>
  <c r="Q1287" i="2" s="1"/>
  <c r="R157" i="2"/>
  <c r="G822" i="2"/>
  <c r="G680" i="2"/>
  <c r="D31" i="14" s="1"/>
  <c r="E31" i="14" s="1"/>
  <c r="K31" i="14" s="1"/>
  <c r="L31" i="14" s="1"/>
  <c r="T214" i="2"/>
  <c r="U214" i="2" s="1"/>
  <c r="V214" i="2" s="1"/>
  <c r="I28" i="17"/>
  <c r="M133" i="2"/>
  <c r="M1257" i="2" s="1"/>
  <c r="M1283" i="2" s="1"/>
  <c r="M361" i="2"/>
  <c r="M418" i="2"/>
  <c r="M304" i="2"/>
  <c r="M190" i="2"/>
  <c r="M533" i="2"/>
  <c r="M181" i="2"/>
  <c r="M1163" i="2" s="1"/>
  <c r="M67" i="2"/>
  <c r="M595" i="2"/>
  <c r="M238" i="2"/>
  <c r="M475" i="2"/>
  <c r="M295" i="2"/>
  <c r="M18" i="2"/>
  <c r="M586" i="2"/>
  <c r="M76" i="2"/>
  <c r="M9" i="2"/>
  <c r="M1189" i="2" s="1"/>
  <c r="M247" i="2"/>
  <c r="M466" i="2"/>
  <c r="M409" i="2"/>
  <c r="M124" i="2"/>
  <c r="M1254" i="2" s="1"/>
  <c r="M1280" i="2" s="1"/>
  <c r="M524" i="2"/>
  <c r="M352" i="2"/>
  <c r="K1163" i="2"/>
  <c r="I28" i="16"/>
  <c r="F814" i="2"/>
  <c r="F1201" i="2"/>
  <c r="F672" i="2"/>
  <c r="L190" i="2"/>
  <c r="L352" i="2"/>
  <c r="L133" i="2"/>
  <c r="L1257" i="2" s="1"/>
  <c r="L1283" i="2" s="1"/>
  <c r="L586" i="2"/>
  <c r="L595" i="2"/>
  <c r="L124" i="2"/>
  <c r="L1254" i="2" s="1"/>
  <c r="L1280" i="2" s="1"/>
  <c r="L524" i="2"/>
  <c r="L247" i="2"/>
  <c r="L361" i="2"/>
  <c r="L181" i="2"/>
  <c r="L1163" i="2" s="1"/>
  <c r="L9" i="2"/>
  <c r="L1189" i="2" s="1"/>
  <c r="L466" i="2"/>
  <c r="L304" i="2"/>
  <c r="L238" i="2"/>
  <c r="L76" i="2"/>
  <c r="L533" i="2"/>
  <c r="L67" i="2"/>
  <c r="L295" i="2"/>
  <c r="L409" i="2"/>
  <c r="L475" i="2"/>
  <c r="L18" i="2"/>
  <c r="L418" i="2"/>
  <c r="J822" i="2"/>
  <c r="J680" i="2"/>
  <c r="D31" i="17" s="1"/>
  <c r="E31" i="17" s="1"/>
  <c r="K31" i="17" s="1"/>
  <c r="L31" i="17" s="1"/>
  <c r="AK116" i="1"/>
  <c r="H144" i="1"/>
  <c r="I28" i="15"/>
  <c r="H680" i="2"/>
  <c r="D31" i="15" s="1"/>
  <c r="E31" i="15" s="1"/>
  <c r="K31" i="15" s="1"/>
  <c r="L31" i="15" s="1"/>
  <c r="H822" i="2"/>
  <c r="Q680" i="2"/>
  <c r="Q822" i="2"/>
  <c r="I586" i="2"/>
  <c r="I76" i="2"/>
  <c r="I595" i="2"/>
  <c r="I295" i="2"/>
  <c r="I247" i="2"/>
  <c r="I190" i="2"/>
  <c r="I361" i="2"/>
  <c r="I409" i="2"/>
  <c r="I18" i="2"/>
  <c r="I304" i="2"/>
  <c r="I133" i="2"/>
  <c r="I1257" i="2" s="1"/>
  <c r="I1283" i="2" s="1"/>
  <c r="I352" i="2"/>
  <c r="I418" i="2"/>
  <c r="I524" i="2"/>
  <c r="I533" i="2"/>
  <c r="I475" i="2"/>
  <c r="I9" i="2"/>
  <c r="I1189" i="2" s="1"/>
  <c r="I181" i="2"/>
  <c r="I238" i="2"/>
  <c r="I124" i="2"/>
  <c r="I1254" i="2" s="1"/>
  <c r="I1280" i="2" s="1"/>
  <c r="I67" i="2"/>
  <c r="I466" i="2"/>
  <c r="J1163" i="2"/>
  <c r="N822" i="2"/>
  <c r="N680" i="2"/>
  <c r="D31" i="25" s="1"/>
  <c r="E31" i="25" s="1"/>
  <c r="K31" i="25" s="1"/>
  <c r="L31" i="25" s="1"/>
  <c r="I1179" i="2"/>
  <c r="I1180" i="2" s="1"/>
  <c r="F1180" i="2"/>
  <c r="H1179" i="2"/>
  <c r="H1180" i="2" s="1"/>
  <c r="G1179" i="2"/>
  <c r="J1179" i="2"/>
  <c r="J1180" i="2" s="1"/>
  <c r="K1179" i="2"/>
  <c r="K1180" i="2" s="1"/>
  <c r="K1181" i="2" s="1"/>
  <c r="L1179" i="2"/>
  <c r="L1180" i="2" s="1"/>
  <c r="M1179" i="2"/>
  <c r="M1180" i="2" s="1"/>
  <c r="N1179" i="2"/>
  <c r="N1180" i="2" s="1"/>
  <c r="O1179" i="2"/>
  <c r="O1180" i="2" s="1"/>
  <c r="P1179" i="2"/>
  <c r="P1180" i="2" s="1"/>
  <c r="Q1179" i="2"/>
  <c r="Q1180" i="2" s="1"/>
  <c r="R1179" i="2"/>
  <c r="R1180" i="2" s="1"/>
  <c r="K680" i="2"/>
  <c r="D31" i="19" s="1"/>
  <c r="E31" i="19" s="1"/>
  <c r="K31" i="19" s="1"/>
  <c r="L31" i="19" s="1"/>
  <c r="K822" i="2"/>
  <c r="AK112" i="1"/>
  <c r="I28" i="19"/>
  <c r="H1163" i="2"/>
  <c r="R524" i="2"/>
  <c r="T524" i="2" s="1"/>
  <c r="U524" i="2" s="1"/>
  <c r="V524" i="2" s="1"/>
  <c r="R247" i="2"/>
  <c r="R18" i="2"/>
  <c r="R9" i="2"/>
  <c r="R352" i="2"/>
  <c r="T352" i="2" s="1"/>
  <c r="U352" i="2" s="1"/>
  <c r="V352" i="2" s="1"/>
  <c r="R533" i="2"/>
  <c r="R466" i="2"/>
  <c r="T466" i="2" s="1"/>
  <c r="U466" i="2" s="1"/>
  <c r="V466" i="2" s="1"/>
  <c r="R67" i="2"/>
  <c r="T67" i="2" s="1"/>
  <c r="U67" i="2" s="1"/>
  <c r="V67" i="2" s="1"/>
  <c r="T1167" i="2"/>
  <c r="U1167" i="2" s="1"/>
  <c r="V1167" i="2" s="1"/>
  <c r="R409" i="2"/>
  <c r="T409" i="2" s="1"/>
  <c r="U409" i="2" s="1"/>
  <c r="V409" i="2" s="1"/>
  <c r="R76" i="2"/>
  <c r="T76" i="2" s="1"/>
  <c r="U76" i="2" s="1"/>
  <c r="V76" i="2" s="1"/>
  <c r="R295" i="2"/>
  <c r="T295" i="2" s="1"/>
  <c r="U295" i="2" s="1"/>
  <c r="V295" i="2" s="1"/>
  <c r="R304" i="2"/>
  <c r="T304" i="2" s="1"/>
  <c r="U304" i="2" s="1"/>
  <c r="V304" i="2" s="1"/>
  <c r="R190" i="2"/>
  <c r="R586" i="2"/>
  <c r="T586" i="2" s="1"/>
  <c r="U586" i="2" s="1"/>
  <c r="V586" i="2" s="1"/>
  <c r="R595" i="2"/>
  <c r="T595" i="2" s="1"/>
  <c r="U595" i="2" s="1"/>
  <c r="V595" i="2" s="1"/>
  <c r="R124" i="2"/>
  <c r="R238" i="2"/>
  <c r="R361" i="2"/>
  <c r="R418" i="2"/>
  <c r="R475" i="2"/>
  <c r="R181" i="2"/>
  <c r="R133" i="2"/>
  <c r="R134" i="2"/>
  <c r="R77" i="2"/>
  <c r="T77" i="2" s="1"/>
  <c r="U77" i="2" s="1"/>
  <c r="V77" i="2" s="1"/>
  <c r="R476" i="2"/>
  <c r="T476" i="2" s="1"/>
  <c r="U476" i="2" s="1"/>
  <c r="V476" i="2" s="1"/>
  <c r="R467" i="2"/>
  <c r="T467" i="2" s="1"/>
  <c r="U467" i="2" s="1"/>
  <c r="V467" i="2" s="1"/>
  <c r="R191" i="2"/>
  <c r="R182" i="2"/>
  <c r="R353" i="2"/>
  <c r="T353" i="2" s="1"/>
  <c r="U353" i="2" s="1"/>
  <c r="V353" i="2" s="1"/>
  <c r="R19" i="2"/>
  <c r="T19" i="2" s="1"/>
  <c r="U19" i="2" s="1"/>
  <c r="V19" i="2" s="1"/>
  <c r="R125" i="2"/>
  <c r="R596" i="2"/>
  <c r="T596" i="2" s="1"/>
  <c r="U596" i="2" s="1"/>
  <c r="V596" i="2" s="1"/>
  <c r="R305" i="2"/>
  <c r="T305" i="2" s="1"/>
  <c r="U305" i="2" s="1"/>
  <c r="V305" i="2" s="1"/>
  <c r="R296" i="2"/>
  <c r="T296" i="2" s="1"/>
  <c r="U296" i="2" s="1"/>
  <c r="V296" i="2" s="1"/>
  <c r="R10" i="2"/>
  <c r="T10" i="2" s="1"/>
  <c r="U10" i="2" s="1"/>
  <c r="V10" i="2" s="1"/>
  <c r="R525" i="2"/>
  <c r="T525" i="2" s="1"/>
  <c r="U525" i="2" s="1"/>
  <c r="V525" i="2" s="1"/>
  <c r="R362" i="2"/>
  <c r="T362" i="2" s="1"/>
  <c r="U362" i="2" s="1"/>
  <c r="V362" i="2" s="1"/>
  <c r="R248" i="2"/>
  <c r="T248" i="2" s="1"/>
  <c r="U248" i="2" s="1"/>
  <c r="V248" i="2" s="1"/>
  <c r="T1174" i="2"/>
  <c r="U1174" i="2" s="1"/>
  <c r="V1174" i="2" s="1"/>
  <c r="R68" i="2"/>
  <c r="T68" i="2" s="1"/>
  <c r="U68" i="2" s="1"/>
  <c r="V68" i="2" s="1"/>
  <c r="R419" i="2"/>
  <c r="T419" i="2" s="1"/>
  <c r="U419" i="2" s="1"/>
  <c r="V419" i="2" s="1"/>
  <c r="R410" i="2"/>
  <c r="T410" i="2" s="1"/>
  <c r="U410" i="2" s="1"/>
  <c r="V410" i="2" s="1"/>
  <c r="R587" i="2"/>
  <c r="T587" i="2" s="1"/>
  <c r="U587" i="2" s="1"/>
  <c r="V587" i="2" s="1"/>
  <c r="R239" i="2"/>
  <c r="T239" i="2" s="1"/>
  <c r="U239" i="2" s="1"/>
  <c r="V239" i="2" s="1"/>
  <c r="R534" i="2"/>
  <c r="T534" i="2" s="1"/>
  <c r="U534" i="2" s="1"/>
  <c r="V534" i="2" s="1"/>
  <c r="D31" i="26"/>
  <c r="E31" i="26" s="1"/>
  <c r="K31" i="26" s="1"/>
  <c r="L31" i="26" s="1"/>
  <c r="R954" i="2"/>
  <c r="R837" i="2"/>
  <c r="T837" i="2" s="1"/>
  <c r="U837" i="2" s="1"/>
  <c r="V837" i="2" s="1"/>
  <c r="T1184" i="2"/>
  <c r="U1184" i="2" s="1"/>
  <c r="V1184" i="2" s="1"/>
  <c r="T361" i="2" l="1"/>
  <c r="U361" i="2" s="1"/>
  <c r="V361" i="2" s="1"/>
  <c r="N1181" i="2"/>
  <c r="T238" i="2"/>
  <c r="U238" i="2" s="1"/>
  <c r="V238" i="2" s="1"/>
  <c r="Q1181" i="2"/>
  <c r="Q75" i="2" s="1"/>
  <c r="Q78" i="2" s="1"/>
  <c r="M1181" i="2"/>
  <c r="P1181" i="2"/>
  <c r="J1181" i="2"/>
  <c r="AL112" i="1"/>
  <c r="AM112" i="1"/>
  <c r="Q351" i="2"/>
  <c r="Q357" i="2" s="1"/>
  <c r="Q417" i="2"/>
  <c r="Q420" i="2" s="1"/>
  <c r="Q408" i="2"/>
  <c r="Q414" i="2" s="1"/>
  <c r="Q459" i="2" s="1"/>
  <c r="Q675" i="2" s="1"/>
  <c r="Q817" i="2" s="1"/>
  <c r="Q474" i="2"/>
  <c r="Q477" i="2" s="1"/>
  <c r="Q132" i="2"/>
  <c r="M189" i="2"/>
  <c r="M192" i="2" s="1"/>
  <c r="G28" i="21" s="1"/>
  <c r="M237" i="2"/>
  <c r="M243" i="2" s="1"/>
  <c r="M8" i="2"/>
  <c r="M14" i="2" s="1"/>
  <c r="M351" i="2"/>
  <c r="M357" i="2" s="1"/>
  <c r="M66" i="2"/>
  <c r="M72" i="2" s="1"/>
  <c r="M408" i="2"/>
  <c r="M414" i="2" s="1"/>
  <c r="M180" i="2"/>
  <c r="M417" i="2"/>
  <c r="M420" i="2" s="1"/>
  <c r="M294" i="2"/>
  <c r="M300" i="2" s="1"/>
  <c r="M523" i="2"/>
  <c r="M529" i="2" s="1"/>
  <c r="M75" i="2"/>
  <c r="M78" i="2" s="1"/>
  <c r="M532" i="2"/>
  <c r="M535" i="2" s="1"/>
  <c r="M474" i="2"/>
  <c r="M477" i="2" s="1"/>
  <c r="M132" i="2"/>
  <c r="M585" i="2"/>
  <c r="M591" i="2" s="1"/>
  <c r="M17" i="2"/>
  <c r="M20" i="2" s="1"/>
  <c r="M303" i="2"/>
  <c r="M306" i="2" s="1"/>
  <c r="G29" i="21" s="1"/>
  <c r="M465" i="2"/>
  <c r="M471" i="2" s="1"/>
  <c r="M516" i="2" s="1"/>
  <c r="M360" i="2"/>
  <c r="M363" i="2" s="1"/>
  <c r="M246" i="2"/>
  <c r="M249" i="2" s="1"/>
  <c r="M594" i="2"/>
  <c r="M597" i="2" s="1"/>
  <c r="G1180" i="2"/>
  <c r="T1179" i="2"/>
  <c r="U1179" i="2" s="1"/>
  <c r="I1163" i="2"/>
  <c r="F123" i="2"/>
  <c r="AK144" i="1"/>
  <c r="L1261" i="2"/>
  <c r="L1287" i="2" s="1"/>
  <c r="I14" i="20"/>
  <c r="K1261" i="2"/>
  <c r="I14" i="19"/>
  <c r="P474" i="2"/>
  <c r="P8" i="2"/>
  <c r="P14" i="2" s="1"/>
  <c r="P532" i="2"/>
  <c r="P585" i="2"/>
  <c r="P237" i="2"/>
  <c r="P360" i="2"/>
  <c r="P363" i="2" s="1"/>
  <c r="P17" i="2"/>
  <c r="P75" i="2"/>
  <c r="P78" i="2" s="1"/>
  <c r="P523" i="2"/>
  <c r="P594" i="2"/>
  <c r="P597" i="2" s="1"/>
  <c r="P294" i="2"/>
  <c r="P417" i="2"/>
  <c r="P420" i="2" s="1"/>
  <c r="P246" i="2"/>
  <c r="P351" i="2"/>
  <c r="P357" i="2" s="1"/>
  <c r="P402" i="2" s="1"/>
  <c r="P189" i="2"/>
  <c r="P192" i="2" s="1"/>
  <c r="P180" i="2"/>
  <c r="P186" i="2" s="1"/>
  <c r="P465" i="2"/>
  <c r="P66" i="2"/>
  <c r="P72" i="2" s="1"/>
  <c r="P123" i="2"/>
  <c r="P408" i="2"/>
  <c r="P414" i="2" s="1"/>
  <c r="P459" i="2" s="1"/>
  <c r="P675" i="2" s="1"/>
  <c r="P817" i="2" s="1"/>
  <c r="P303" i="2"/>
  <c r="P306" i="2" s="1"/>
  <c r="P132" i="2"/>
  <c r="I680" i="2"/>
  <c r="D31" i="16" s="1"/>
  <c r="E31" i="16" s="1"/>
  <c r="K31" i="16" s="1"/>
  <c r="L31" i="16" s="1"/>
  <c r="I822" i="2"/>
  <c r="AM116" i="1"/>
  <c r="AL116" i="1"/>
  <c r="F992" i="2"/>
  <c r="F903" i="2"/>
  <c r="F909" i="2" s="1"/>
  <c r="F852" i="2"/>
  <c r="M680" i="2"/>
  <c r="D31" i="21" s="1"/>
  <c r="E31" i="21" s="1"/>
  <c r="K31" i="21" s="1"/>
  <c r="L31" i="21" s="1"/>
  <c r="M822" i="2"/>
  <c r="T157" i="2"/>
  <c r="U157" i="2" s="1"/>
  <c r="V157" i="2" s="1"/>
  <c r="R1261" i="2"/>
  <c r="R1287" i="2" s="1"/>
  <c r="O1261" i="2"/>
  <c r="O1287" i="2" s="1"/>
  <c r="I14" i="26"/>
  <c r="I14" i="14"/>
  <c r="G1261" i="2"/>
  <c r="I14" i="17"/>
  <c r="J1261" i="2"/>
  <c r="P477" i="2"/>
  <c r="P529" i="2"/>
  <c r="K189" i="2"/>
  <c r="K417" i="2"/>
  <c r="K420" i="2" s="1"/>
  <c r="K351" i="2"/>
  <c r="K357" i="2" s="1"/>
  <c r="K180" i="2"/>
  <c r="K532" i="2"/>
  <c r="K535" i="2" s="1"/>
  <c r="K66" i="2"/>
  <c r="K72" i="2" s="1"/>
  <c r="K594" i="2"/>
  <c r="K597" i="2" s="1"/>
  <c r="K294" i="2"/>
  <c r="K300" i="2" s="1"/>
  <c r="K303" i="2"/>
  <c r="K306" i="2" s="1"/>
  <c r="G29" i="19" s="1"/>
  <c r="K465" i="2"/>
  <c r="K471" i="2" s="1"/>
  <c r="K17" i="2"/>
  <c r="K20" i="2" s="1"/>
  <c r="K474" i="2"/>
  <c r="K477" i="2" s="1"/>
  <c r="K8" i="2"/>
  <c r="K14" i="2" s="1"/>
  <c r="K75" i="2"/>
  <c r="K78" i="2" s="1"/>
  <c r="K237" i="2"/>
  <c r="K243" i="2" s="1"/>
  <c r="K523" i="2"/>
  <c r="K529" i="2" s="1"/>
  <c r="K123" i="2"/>
  <c r="K585" i="2"/>
  <c r="K591" i="2" s="1"/>
  <c r="K360" i="2"/>
  <c r="K363" i="2" s="1"/>
  <c r="K408" i="2"/>
  <c r="K414" i="2" s="1"/>
  <c r="K246" i="2"/>
  <c r="K249" i="2" s="1"/>
  <c r="K132" i="2"/>
  <c r="H1181" i="2"/>
  <c r="I1181" i="2"/>
  <c r="L1181" i="2"/>
  <c r="O1181" i="2"/>
  <c r="R1181" i="2"/>
  <c r="N1261" i="2"/>
  <c r="N1287" i="2" s="1"/>
  <c r="I14" i="25"/>
  <c r="I14" i="15"/>
  <c r="H1261" i="2"/>
  <c r="P20" i="2"/>
  <c r="P822" i="2"/>
  <c r="P680" i="2"/>
  <c r="P471" i="2"/>
  <c r="P243" i="2"/>
  <c r="N594" i="2"/>
  <c r="N597" i="2" s="1"/>
  <c r="N351" i="2"/>
  <c r="N357" i="2" s="1"/>
  <c r="N532" i="2"/>
  <c r="N535" i="2" s="1"/>
  <c r="N66" i="2"/>
  <c r="N72" i="2" s="1"/>
  <c r="N303" i="2"/>
  <c r="N306" i="2" s="1"/>
  <c r="G29" i="25" s="1"/>
  <c r="N523" i="2"/>
  <c r="N529" i="2" s="1"/>
  <c r="N237" i="2"/>
  <c r="N243" i="2" s="1"/>
  <c r="N417" i="2"/>
  <c r="N420" i="2" s="1"/>
  <c r="N17" i="2"/>
  <c r="N20" i="2" s="1"/>
  <c r="N180" i="2"/>
  <c r="N585" i="2"/>
  <c r="N591" i="2" s="1"/>
  <c r="N8" i="2"/>
  <c r="N14" i="2" s="1"/>
  <c r="N474" i="2"/>
  <c r="N477" i="2" s="1"/>
  <c r="N123" i="2"/>
  <c r="N408" i="2"/>
  <c r="N414" i="2" s="1"/>
  <c r="N75" i="2"/>
  <c r="N78" i="2" s="1"/>
  <c r="N117" i="2" s="1"/>
  <c r="N294" i="2"/>
  <c r="N300" i="2" s="1"/>
  <c r="N465" i="2"/>
  <c r="N471" i="2" s="1"/>
  <c r="N246" i="2"/>
  <c r="N249" i="2" s="1"/>
  <c r="N189" i="2"/>
  <c r="N360" i="2"/>
  <c r="N363" i="2" s="1"/>
  <c r="N132" i="2"/>
  <c r="J180" i="2"/>
  <c r="J585" i="2"/>
  <c r="J591" i="2" s="1"/>
  <c r="J17" i="2"/>
  <c r="J20" i="2" s="1"/>
  <c r="J237" i="2"/>
  <c r="J243" i="2" s="1"/>
  <c r="J474" i="2"/>
  <c r="J477" i="2" s="1"/>
  <c r="J132" i="2"/>
  <c r="J246" i="2"/>
  <c r="J249" i="2" s="1"/>
  <c r="J351" i="2"/>
  <c r="J357" i="2" s="1"/>
  <c r="J465" i="2"/>
  <c r="J471" i="2" s="1"/>
  <c r="J516" i="2" s="1"/>
  <c r="J123" i="2"/>
  <c r="J532" i="2"/>
  <c r="J535" i="2" s="1"/>
  <c r="J189" i="2"/>
  <c r="J594" i="2"/>
  <c r="J597" i="2" s="1"/>
  <c r="J417" i="2"/>
  <c r="J420" i="2" s="1"/>
  <c r="J8" i="2"/>
  <c r="J14" i="2" s="1"/>
  <c r="J66" i="2"/>
  <c r="J72" i="2" s="1"/>
  <c r="J75" i="2"/>
  <c r="J78" i="2" s="1"/>
  <c r="J360" i="2"/>
  <c r="J363" i="2" s="1"/>
  <c r="J294" i="2"/>
  <c r="J300" i="2" s="1"/>
  <c r="J408" i="2"/>
  <c r="J414" i="2" s="1"/>
  <c r="J523" i="2"/>
  <c r="J529" i="2" s="1"/>
  <c r="J303" i="2"/>
  <c r="J306" i="2" s="1"/>
  <c r="G29" i="17" s="1"/>
  <c r="L680" i="2"/>
  <c r="D31" i="20" s="1"/>
  <c r="E31" i="20" s="1"/>
  <c r="K31" i="20" s="1"/>
  <c r="L31" i="20" s="1"/>
  <c r="L822" i="2"/>
  <c r="F682" i="2"/>
  <c r="F704" i="2"/>
  <c r="F708" i="2" s="1"/>
  <c r="I14" i="21"/>
  <c r="M1261" i="2"/>
  <c r="M1287" i="2" s="1"/>
  <c r="I1261" i="2"/>
  <c r="I1287" i="2" s="1"/>
  <c r="I14" i="16"/>
  <c r="P535" i="2"/>
  <c r="P591" i="2"/>
  <c r="P249" i="2"/>
  <c r="P300" i="2"/>
  <c r="R1255" i="2"/>
  <c r="T125" i="2"/>
  <c r="U125" i="2" s="1"/>
  <c r="V125" i="2" s="1"/>
  <c r="T191" i="2"/>
  <c r="U191" i="2" s="1"/>
  <c r="V191" i="2" s="1"/>
  <c r="R1258" i="2"/>
  <c r="T134" i="2"/>
  <c r="U134" i="2" s="1"/>
  <c r="V134" i="2" s="1"/>
  <c r="R1257" i="2"/>
  <c r="T133" i="2"/>
  <c r="U133" i="2" s="1"/>
  <c r="V133" i="2" s="1"/>
  <c r="T18" i="2"/>
  <c r="U18" i="2" s="1"/>
  <c r="V18" i="2" s="1"/>
  <c r="R1163" i="2"/>
  <c r="T181" i="2"/>
  <c r="U181" i="2" s="1"/>
  <c r="V181" i="2" s="1"/>
  <c r="T190" i="2"/>
  <c r="U190" i="2" s="1"/>
  <c r="V190" i="2" s="1"/>
  <c r="T533" i="2"/>
  <c r="U533" i="2" s="1"/>
  <c r="V533" i="2" s="1"/>
  <c r="T247" i="2"/>
  <c r="U247" i="2" s="1"/>
  <c r="V247" i="2" s="1"/>
  <c r="R965" i="2"/>
  <c r="T965" i="2" s="1"/>
  <c r="U965" i="2" s="1"/>
  <c r="R985" i="2"/>
  <c r="T985" i="2" s="1"/>
  <c r="U985" i="2" s="1"/>
  <c r="V985" i="2" s="1"/>
  <c r="T954" i="2"/>
  <c r="U954" i="2" s="1"/>
  <c r="V954" i="2" s="1"/>
  <c r="T475" i="2"/>
  <c r="U475" i="2" s="1"/>
  <c r="V475" i="2" s="1"/>
  <c r="R1254" i="2"/>
  <c r="T124" i="2"/>
  <c r="U124" i="2" s="1"/>
  <c r="V124" i="2" s="1"/>
  <c r="R1170" i="2"/>
  <c r="T182" i="2"/>
  <c r="U182" i="2" s="1"/>
  <c r="V182" i="2" s="1"/>
  <c r="T418" i="2"/>
  <c r="U418" i="2" s="1"/>
  <c r="V418" i="2" s="1"/>
  <c r="R1189" i="2"/>
  <c r="T9" i="2"/>
  <c r="U9" i="2" s="1"/>
  <c r="V9" i="2" s="1"/>
  <c r="P288" i="2" l="1"/>
  <c r="K636" i="2"/>
  <c r="Q523" i="2"/>
  <c r="Q529" i="2" s="1"/>
  <c r="Q303" i="2"/>
  <c r="Q306" i="2" s="1"/>
  <c r="Q180" i="2"/>
  <c r="Q186" i="2" s="1"/>
  <c r="Q8" i="2"/>
  <c r="Q14" i="2" s="1"/>
  <c r="Q594" i="2"/>
  <c r="Q597" i="2" s="1"/>
  <c r="K288" i="2"/>
  <c r="K833" i="2" s="1"/>
  <c r="Q294" i="2"/>
  <c r="Q300" i="2" s="1"/>
  <c r="Q360" i="2"/>
  <c r="Q363" i="2" s="1"/>
  <c r="Q66" i="2"/>
  <c r="Q72" i="2" s="1"/>
  <c r="Q117" i="2" s="1"/>
  <c r="Q585" i="2"/>
  <c r="Q591" i="2" s="1"/>
  <c r="Q636" i="2" s="1"/>
  <c r="Q189" i="2"/>
  <c r="Q192" i="2" s="1"/>
  <c r="Q237" i="2"/>
  <c r="Q243" i="2" s="1"/>
  <c r="P516" i="2"/>
  <c r="Q465" i="2"/>
  <c r="Q471" i="2" s="1"/>
  <c r="Q516" i="2" s="1"/>
  <c r="Q246" i="2"/>
  <c r="Q249" i="2" s="1"/>
  <c r="Q17" i="2"/>
  <c r="Q20" i="2" s="1"/>
  <c r="Q532" i="2"/>
  <c r="Q535" i="2" s="1"/>
  <c r="P674" i="2"/>
  <c r="P816" i="2"/>
  <c r="I35" i="21"/>
  <c r="H35" i="21"/>
  <c r="P345" i="2"/>
  <c r="H35" i="16"/>
  <c r="I35" i="16"/>
  <c r="G30" i="17"/>
  <c r="J1253" i="2"/>
  <c r="E14" i="17"/>
  <c r="J129" i="2"/>
  <c r="J1256" i="2"/>
  <c r="J135" i="2"/>
  <c r="G14" i="17" s="1"/>
  <c r="J636" i="2"/>
  <c r="N192" i="2"/>
  <c r="G28" i="25" s="1"/>
  <c r="N660" i="2"/>
  <c r="D44" i="25" s="1"/>
  <c r="N841" i="2"/>
  <c r="N835" i="2"/>
  <c r="N59" i="2"/>
  <c r="N857" i="2"/>
  <c r="G30" i="25"/>
  <c r="I35" i="25"/>
  <c r="H35" i="25"/>
  <c r="L360" i="2"/>
  <c r="L363" i="2" s="1"/>
  <c r="L132" i="2"/>
  <c r="L66" i="2"/>
  <c r="L72" i="2" s="1"/>
  <c r="L246" i="2"/>
  <c r="L249" i="2" s="1"/>
  <c r="L294" i="2"/>
  <c r="L300" i="2" s="1"/>
  <c r="L180" i="2"/>
  <c r="L523" i="2"/>
  <c r="L529" i="2" s="1"/>
  <c r="L8" i="2"/>
  <c r="L14" i="2" s="1"/>
  <c r="L417" i="2"/>
  <c r="L420" i="2" s="1"/>
  <c r="L75" i="2"/>
  <c r="L78" i="2" s="1"/>
  <c r="L303" i="2"/>
  <c r="L306" i="2" s="1"/>
  <c r="G29" i="20" s="1"/>
  <c r="L585" i="2"/>
  <c r="L591" i="2" s="1"/>
  <c r="L123" i="2"/>
  <c r="L594" i="2"/>
  <c r="L597" i="2" s="1"/>
  <c r="L189" i="2"/>
  <c r="L192" i="2" s="1"/>
  <c r="G28" i="20" s="1"/>
  <c r="L351" i="2"/>
  <c r="L357" i="2" s="1"/>
  <c r="L402" i="2" s="1"/>
  <c r="L237" i="2"/>
  <c r="L243" i="2" s="1"/>
  <c r="L288" i="2" s="1"/>
  <c r="L474" i="2"/>
  <c r="L477" i="2" s="1"/>
  <c r="L17" i="2"/>
  <c r="L20" i="2" s="1"/>
  <c r="L532" i="2"/>
  <c r="L535" i="2" s="1"/>
  <c r="L408" i="2"/>
  <c r="L414" i="2" s="1"/>
  <c r="L465" i="2"/>
  <c r="L471" i="2" s="1"/>
  <c r="L516" i="2" s="1"/>
  <c r="E14" i="19"/>
  <c r="K129" i="2"/>
  <c r="K1253" i="2"/>
  <c r="K59" i="2"/>
  <c r="K15" i="2"/>
  <c r="K857" i="2"/>
  <c r="K192" i="2"/>
  <c r="G28" i="19" s="1"/>
  <c r="J1287" i="2"/>
  <c r="I35" i="26"/>
  <c r="H35" i="26"/>
  <c r="P1253" i="2"/>
  <c r="P129" i="2"/>
  <c r="K1287" i="2"/>
  <c r="F129" i="2"/>
  <c r="F1253" i="2"/>
  <c r="M636" i="2"/>
  <c r="E28" i="21"/>
  <c r="M186" i="2"/>
  <c r="M402" i="2"/>
  <c r="Q123" i="2"/>
  <c r="Q59" i="2"/>
  <c r="Q857" i="2"/>
  <c r="P834" i="2"/>
  <c r="P833" i="2"/>
  <c r="F925" i="2"/>
  <c r="F931" i="2" s="1"/>
  <c r="F934" i="2" s="1"/>
  <c r="F1033" i="2"/>
  <c r="F684" i="2"/>
  <c r="F961" i="2"/>
  <c r="F967" i="2" s="1"/>
  <c r="F30" i="17"/>
  <c r="J574" i="2"/>
  <c r="J677" i="2" s="1"/>
  <c r="J819" i="2" s="1"/>
  <c r="J676" i="2"/>
  <c r="J818" i="2"/>
  <c r="E28" i="17"/>
  <c r="J186" i="2"/>
  <c r="E30" i="25"/>
  <c r="N459" i="2"/>
  <c r="N675" i="2" s="1"/>
  <c r="N636" i="2"/>
  <c r="N288" i="2"/>
  <c r="P818" i="2"/>
  <c r="P676" i="2"/>
  <c r="P661" i="2"/>
  <c r="P839" i="2"/>
  <c r="P842" i="2"/>
  <c r="I417" i="2"/>
  <c r="I420" i="2" s="1"/>
  <c r="I189" i="2"/>
  <c r="I585" i="2"/>
  <c r="I591" i="2" s="1"/>
  <c r="I532" i="2"/>
  <c r="I535" i="2" s="1"/>
  <c r="I408" i="2"/>
  <c r="I414" i="2" s="1"/>
  <c r="I351" i="2"/>
  <c r="I357" i="2" s="1"/>
  <c r="I8" i="2"/>
  <c r="I14" i="2" s="1"/>
  <c r="I303" i="2"/>
  <c r="I306" i="2" s="1"/>
  <c r="G29" i="16" s="1"/>
  <c r="I465" i="2"/>
  <c r="I471" i="2" s="1"/>
  <c r="I360" i="2"/>
  <c r="I363" i="2" s="1"/>
  <c r="I237" i="2"/>
  <c r="I243" i="2" s="1"/>
  <c r="I180" i="2"/>
  <c r="I66" i="2"/>
  <c r="I72" i="2" s="1"/>
  <c r="I294" i="2"/>
  <c r="I300" i="2" s="1"/>
  <c r="I594" i="2"/>
  <c r="I597" i="2" s="1"/>
  <c r="I474" i="2"/>
  <c r="I477" i="2" s="1"/>
  <c r="I75" i="2"/>
  <c r="I78" i="2" s="1"/>
  <c r="I132" i="2"/>
  <c r="I123" i="2"/>
  <c r="I523" i="2"/>
  <c r="I529" i="2" s="1"/>
  <c r="I17" i="2"/>
  <c r="I20" i="2" s="1"/>
  <c r="I246" i="2"/>
  <c r="I249" i="2" s="1"/>
  <c r="K459" i="2"/>
  <c r="K675" i="2" s="1"/>
  <c r="E30" i="19"/>
  <c r="F30" i="19"/>
  <c r="K574" i="2"/>
  <c r="K677" i="2" s="1"/>
  <c r="K819" i="2" s="1"/>
  <c r="E29" i="19"/>
  <c r="K29" i="19" s="1"/>
  <c r="K345" i="2"/>
  <c r="E28" i="19"/>
  <c r="K28" i="19" s="1"/>
  <c r="K186" i="2"/>
  <c r="P574" i="2"/>
  <c r="P677" i="2" s="1"/>
  <c r="P819" i="2" s="1"/>
  <c r="I35" i="17"/>
  <c r="H35" i="17"/>
  <c r="P1256" i="2"/>
  <c r="P1282" i="2" s="1"/>
  <c r="P135" i="2"/>
  <c r="P636" i="2"/>
  <c r="P59" i="2"/>
  <c r="P857" i="2"/>
  <c r="I35" i="20"/>
  <c r="H35" i="20"/>
  <c r="G1181" i="2"/>
  <c r="T1180" i="2"/>
  <c r="U1180" i="2" s="1"/>
  <c r="M676" i="2"/>
  <c r="M818" i="2"/>
  <c r="M1256" i="2"/>
  <c r="M1282" i="2" s="1"/>
  <c r="M135" i="2"/>
  <c r="G14" i="21" s="1"/>
  <c r="M574" i="2"/>
  <c r="M677" i="2" s="1"/>
  <c r="M819" i="2" s="1"/>
  <c r="F30" i="21"/>
  <c r="M459" i="2"/>
  <c r="M675" i="2" s="1"/>
  <c r="E30" i="21"/>
  <c r="M59" i="2"/>
  <c r="M857" i="2"/>
  <c r="Q835" i="2"/>
  <c r="Q841" i="2"/>
  <c r="Q660" i="2"/>
  <c r="Q706" i="2"/>
  <c r="Q907" i="2" s="1"/>
  <c r="Q905" i="2"/>
  <c r="Q288" i="2"/>
  <c r="J857" i="2"/>
  <c r="J15" i="2"/>
  <c r="J59" i="2"/>
  <c r="E30" i="17"/>
  <c r="K30" i="17" s="1"/>
  <c r="J459" i="2"/>
  <c r="J675" i="2" s="1"/>
  <c r="J117" i="2"/>
  <c r="J192" i="2"/>
  <c r="G28" i="17" s="1"/>
  <c r="J402" i="2"/>
  <c r="J288" i="2"/>
  <c r="N135" i="2"/>
  <c r="G14" i="25" s="1"/>
  <c r="N1256" i="2"/>
  <c r="N1282" i="2" s="1"/>
  <c r="N516" i="2"/>
  <c r="N1253" i="2"/>
  <c r="E14" i="25"/>
  <c r="N129" i="2"/>
  <c r="E28" i="25"/>
  <c r="N186" i="2"/>
  <c r="F30" i="25"/>
  <c r="N574" i="2"/>
  <c r="N677" i="2" s="1"/>
  <c r="N819" i="2" s="1"/>
  <c r="N402" i="2"/>
  <c r="P117" i="2"/>
  <c r="H1287" i="2"/>
  <c r="R585" i="2"/>
  <c r="R591" i="2" s="1"/>
  <c r="R8" i="2"/>
  <c r="R14" i="2" s="1"/>
  <c r="R465" i="2"/>
  <c r="R471" i="2" s="1"/>
  <c r="R523" i="2"/>
  <c r="R529" i="2" s="1"/>
  <c r="R246" i="2"/>
  <c r="R532" i="2"/>
  <c r="R474" i="2"/>
  <c r="R417" i="2"/>
  <c r="R303" i="2"/>
  <c r="R306" i="2" s="1"/>
  <c r="R294" i="2"/>
  <c r="R300" i="2" s="1"/>
  <c r="R594" i="2"/>
  <c r="R597" i="2" s="1"/>
  <c r="R351" i="2"/>
  <c r="R357" i="2" s="1"/>
  <c r="R132" i="2"/>
  <c r="R237" i="2"/>
  <c r="R243" i="2" s="1"/>
  <c r="R180" i="2"/>
  <c r="R186" i="2" s="1"/>
  <c r="R75" i="2"/>
  <c r="R78" i="2" s="1"/>
  <c r="R66" i="2"/>
  <c r="R72" i="2" s="1"/>
  <c r="R17" i="2"/>
  <c r="R408" i="2"/>
  <c r="R414" i="2" s="1"/>
  <c r="R360" i="2"/>
  <c r="R363" i="2" s="1"/>
  <c r="R189" i="2"/>
  <c r="R192" i="2" s="1"/>
  <c r="R123" i="2"/>
  <c r="H8" i="2"/>
  <c r="H14" i="2" s="1"/>
  <c r="H66" i="2"/>
  <c r="H72" i="2" s="1"/>
  <c r="H17" i="2"/>
  <c r="H20" i="2" s="1"/>
  <c r="H417" i="2"/>
  <c r="H420" i="2" s="1"/>
  <c r="H532" i="2"/>
  <c r="H535" i="2" s="1"/>
  <c r="H523" i="2"/>
  <c r="H529" i="2" s="1"/>
  <c r="H189" i="2"/>
  <c r="H246" i="2"/>
  <c r="H249" i="2" s="1"/>
  <c r="H132" i="2"/>
  <c r="H408" i="2"/>
  <c r="H414" i="2" s="1"/>
  <c r="H465" i="2"/>
  <c r="H471" i="2" s="1"/>
  <c r="H360" i="2"/>
  <c r="H363" i="2" s="1"/>
  <c r="H303" i="2"/>
  <c r="H306" i="2" s="1"/>
  <c r="G29" i="15" s="1"/>
  <c r="H474" i="2"/>
  <c r="H477" i="2" s="1"/>
  <c r="H123" i="2"/>
  <c r="H237" i="2"/>
  <c r="H243" i="2" s="1"/>
  <c r="H288" i="2" s="1"/>
  <c r="H180" i="2"/>
  <c r="H294" i="2"/>
  <c r="H300" i="2" s="1"/>
  <c r="H585" i="2"/>
  <c r="H591" i="2" s="1"/>
  <c r="H351" i="2"/>
  <c r="H357" i="2" s="1"/>
  <c r="H402" i="2" s="1"/>
  <c r="H594" i="2"/>
  <c r="H597" i="2" s="1"/>
  <c r="H75" i="2"/>
  <c r="H78" i="2" s="1"/>
  <c r="K839" i="2"/>
  <c r="K842" i="2"/>
  <c r="K661" i="2"/>
  <c r="D42" i="19" s="1"/>
  <c r="K402" i="2"/>
  <c r="G1287" i="2"/>
  <c r="T1261" i="2"/>
  <c r="U1261" i="2" s="1"/>
  <c r="V1261" i="2" s="1"/>
  <c r="F713" i="2"/>
  <c r="F854" i="2"/>
  <c r="E29" i="21"/>
  <c r="K29" i="21" s="1"/>
  <c r="M345" i="2"/>
  <c r="M117" i="2"/>
  <c r="M288" i="2"/>
  <c r="Q676" i="2"/>
  <c r="Q818" i="2"/>
  <c r="Q661" i="2"/>
  <c r="Q842" i="2"/>
  <c r="Q839" i="2"/>
  <c r="E29" i="17"/>
  <c r="K29" i="17" s="1"/>
  <c r="J345" i="2"/>
  <c r="J839" i="2"/>
  <c r="J842" i="2"/>
  <c r="J661" i="2"/>
  <c r="D42" i="17" s="1"/>
  <c r="E29" i="25"/>
  <c r="K29" i="25" s="1"/>
  <c r="N345" i="2"/>
  <c r="N842" i="2"/>
  <c r="N839" i="2"/>
  <c r="N661" i="2"/>
  <c r="D42" i="25" s="1"/>
  <c r="I35" i="15"/>
  <c r="H35" i="15"/>
  <c r="O17" i="2"/>
  <c r="O20" i="2" s="1"/>
  <c r="O523" i="2"/>
  <c r="O529" i="2" s="1"/>
  <c r="O594" i="2"/>
  <c r="O597" i="2" s="1"/>
  <c r="O351" i="2"/>
  <c r="O357" i="2" s="1"/>
  <c r="O465" i="2"/>
  <c r="O471" i="2" s="1"/>
  <c r="O474" i="2"/>
  <c r="O477" i="2" s="1"/>
  <c r="O189" i="2"/>
  <c r="O192" i="2" s="1"/>
  <c r="G28" i="26" s="1"/>
  <c r="O532" i="2"/>
  <c r="O535" i="2" s="1"/>
  <c r="O417" i="2"/>
  <c r="O420" i="2" s="1"/>
  <c r="O246" i="2"/>
  <c r="O249" i="2" s="1"/>
  <c r="O132" i="2"/>
  <c r="O408" i="2"/>
  <c r="O414" i="2" s="1"/>
  <c r="O294" i="2"/>
  <c r="O300" i="2" s="1"/>
  <c r="O180" i="2"/>
  <c r="O8" i="2"/>
  <c r="O14" i="2" s="1"/>
  <c r="O66" i="2"/>
  <c r="O72" i="2" s="1"/>
  <c r="O123" i="2"/>
  <c r="O237" i="2"/>
  <c r="O243" i="2" s="1"/>
  <c r="O288" i="2" s="1"/>
  <c r="O585" i="2"/>
  <c r="O591" i="2" s="1"/>
  <c r="O636" i="2" s="1"/>
  <c r="O75" i="2"/>
  <c r="O78" i="2" s="1"/>
  <c r="O360" i="2"/>
  <c r="O363" i="2" s="1"/>
  <c r="O303" i="2"/>
  <c r="O306" i="2" s="1"/>
  <c r="G29" i="26" s="1"/>
  <c r="K1256" i="2"/>
  <c r="K135" i="2"/>
  <c r="G14" i="19" s="1"/>
  <c r="K706" i="2"/>
  <c r="K905" i="2"/>
  <c r="K516" i="2"/>
  <c r="K117" i="2"/>
  <c r="G30" i="19"/>
  <c r="I35" i="14"/>
  <c r="H35" i="14"/>
  <c r="P231" i="2"/>
  <c r="I35" i="19"/>
  <c r="H35" i="19"/>
  <c r="AM144" i="1"/>
  <c r="AL144" i="1"/>
  <c r="M839" i="2"/>
  <c r="M661" i="2"/>
  <c r="D42" i="21" s="1"/>
  <c r="M842" i="2"/>
  <c r="G30" i="21"/>
  <c r="M123" i="2"/>
  <c r="K28" i="21"/>
  <c r="Q1256" i="2"/>
  <c r="Q1282" i="2" s="1"/>
  <c r="Q135" i="2"/>
  <c r="Q402" i="2"/>
  <c r="R402" i="2"/>
  <c r="R1280" i="2"/>
  <c r="T1254" i="2"/>
  <c r="U1254" i="2" s="1"/>
  <c r="V1254" i="2" s="1"/>
  <c r="R636" i="2"/>
  <c r="R345" i="2"/>
  <c r="R231" i="2"/>
  <c r="R680" i="2"/>
  <c r="T680" i="2" s="1"/>
  <c r="U680" i="2" s="1"/>
  <c r="V680" i="2" s="1"/>
  <c r="R822" i="2"/>
  <c r="T822" i="2" s="1"/>
  <c r="U822" i="2" s="1"/>
  <c r="V822" i="2" s="1"/>
  <c r="T1189" i="2"/>
  <c r="U1189" i="2" s="1"/>
  <c r="V1189" i="2" s="1"/>
  <c r="R857" i="2"/>
  <c r="R1283" i="2"/>
  <c r="T1257" i="2"/>
  <c r="U1257" i="2" s="1"/>
  <c r="V1257" i="2" s="1"/>
  <c r="R1284" i="2"/>
  <c r="T1258" i="2"/>
  <c r="U1258" i="2" s="1"/>
  <c r="V1258" i="2" s="1"/>
  <c r="R1281" i="2"/>
  <c r="T1255" i="2"/>
  <c r="U1255" i="2" s="1"/>
  <c r="V1255" i="2" s="1"/>
  <c r="R117" i="2"/>
  <c r="H636" i="2" l="1"/>
  <c r="K834" i="2"/>
  <c r="Q345" i="2"/>
  <c r="Q231" i="2"/>
  <c r="Q574" i="2"/>
  <c r="Q677" i="2" s="1"/>
  <c r="Q819" i="2" s="1"/>
  <c r="K35" i="21"/>
  <c r="L35" i="21" s="1"/>
  <c r="D34" i="17"/>
  <c r="G34" i="17" s="1"/>
  <c r="K34" i="17" s="1"/>
  <c r="L34" i="17" s="1"/>
  <c r="K35" i="19"/>
  <c r="L35" i="19" s="1"/>
  <c r="K35" i="16"/>
  <c r="L35" i="16" s="1"/>
  <c r="K35" i="26"/>
  <c r="L35" i="26" s="1"/>
  <c r="O834" i="2"/>
  <c r="O833" i="2"/>
  <c r="O186" i="2"/>
  <c r="E28" i="26"/>
  <c r="O574" i="2"/>
  <c r="O677" i="2" s="1"/>
  <c r="O819" i="2" s="1"/>
  <c r="F30" i="26"/>
  <c r="G42" i="25"/>
  <c r="K42" i="25" s="1"/>
  <c r="L42" i="25" s="1"/>
  <c r="J815" i="2"/>
  <c r="J858" i="2"/>
  <c r="J673" i="2"/>
  <c r="D29" i="17" s="1"/>
  <c r="L29" i="17" s="1"/>
  <c r="J832" i="2"/>
  <c r="M660" i="2"/>
  <c r="D44" i="21" s="1"/>
  <c r="M841" i="2"/>
  <c r="M835" i="2"/>
  <c r="F750" i="2"/>
  <c r="F723" i="2"/>
  <c r="G42" i="19"/>
  <c r="K42" i="19" s="1"/>
  <c r="L42" i="19" s="1"/>
  <c r="H186" i="2"/>
  <c r="E28" i="15"/>
  <c r="H1256" i="2"/>
  <c r="H135" i="2"/>
  <c r="G14" i="15" s="1"/>
  <c r="H15" i="2"/>
  <c r="H59" i="2"/>
  <c r="H857" i="2"/>
  <c r="R477" i="2"/>
  <c r="N1209" i="2"/>
  <c r="N1210" i="2" s="1"/>
  <c r="N174" i="2"/>
  <c r="Q833" i="2"/>
  <c r="Q834" i="2"/>
  <c r="K30" i="21"/>
  <c r="I842" i="2"/>
  <c r="I661" i="2"/>
  <c r="D42" i="16" s="1"/>
  <c r="I839" i="2"/>
  <c r="I117" i="2"/>
  <c r="I516" i="2"/>
  <c r="I459" i="2"/>
  <c r="I675" i="2" s="1"/>
  <c r="I817" i="2" s="1"/>
  <c r="E30" i="16"/>
  <c r="G30" i="16"/>
  <c r="N817" i="2"/>
  <c r="K28" i="17"/>
  <c r="M187" i="2"/>
  <c r="M231" i="2"/>
  <c r="J1205" i="2"/>
  <c r="K1209" i="2"/>
  <c r="K1210" i="2" s="1"/>
  <c r="F174" i="2"/>
  <c r="N1205" i="2"/>
  <c r="N1212" i="2" s="1"/>
  <c r="P1209" i="2"/>
  <c r="P1210" i="2" s="1"/>
  <c r="P1205" i="2"/>
  <c r="P1279" i="2"/>
  <c r="P1262" i="2"/>
  <c r="K14" i="19"/>
  <c r="L459" i="2"/>
  <c r="L675" i="2" s="1"/>
  <c r="E30" i="20"/>
  <c r="L833" i="2"/>
  <c r="L834" i="2"/>
  <c r="L129" i="2"/>
  <c r="E14" i="20"/>
  <c r="L1253" i="2"/>
  <c r="G30" i="20"/>
  <c r="E29" i="20"/>
  <c r="K29" i="20" s="1"/>
  <c r="L345" i="2"/>
  <c r="K35" i="25"/>
  <c r="L35" i="25" s="1"/>
  <c r="J1282" i="2"/>
  <c r="P858" i="2"/>
  <c r="P673" i="2"/>
  <c r="P815" i="2"/>
  <c r="P832" i="2"/>
  <c r="G42" i="21"/>
  <c r="K42" i="21" s="1"/>
  <c r="L42" i="21" s="1"/>
  <c r="K35" i="14"/>
  <c r="L35" i="14" s="1"/>
  <c r="D22" i="19"/>
  <c r="K907" i="2"/>
  <c r="O1253" i="2"/>
  <c r="O129" i="2"/>
  <c r="O1205" i="2" s="1"/>
  <c r="E14" i="26"/>
  <c r="O345" i="2"/>
  <c r="E29" i="26"/>
  <c r="K29" i="26" s="1"/>
  <c r="G30" i="26"/>
  <c r="O516" i="2"/>
  <c r="O661" i="2"/>
  <c r="D42" i="26" s="1"/>
  <c r="G42" i="26" s="1"/>
  <c r="O839" i="2"/>
  <c r="O842" i="2"/>
  <c r="D34" i="25"/>
  <c r="G34" i="25" s="1"/>
  <c r="K34" i="25" s="1"/>
  <c r="L34" i="25" s="1"/>
  <c r="G42" i="17"/>
  <c r="K42" i="17" s="1"/>
  <c r="L42" i="17" s="1"/>
  <c r="M815" i="2"/>
  <c r="M673" i="2"/>
  <c r="D29" i="21" s="1"/>
  <c r="L29" i="21" s="1"/>
  <c r="M832" i="2"/>
  <c r="M858" i="2"/>
  <c r="D34" i="19"/>
  <c r="G34" i="19" s="1"/>
  <c r="K34" i="19" s="1"/>
  <c r="L34" i="19" s="1"/>
  <c r="H674" i="2"/>
  <c r="H816" i="2"/>
  <c r="H833" i="2"/>
  <c r="H834" i="2"/>
  <c r="G30" i="15"/>
  <c r="R1253" i="2"/>
  <c r="R129" i="2"/>
  <c r="R20" i="2"/>
  <c r="R535" i="2"/>
  <c r="P841" i="2"/>
  <c r="P660" i="2"/>
  <c r="P835" i="2"/>
  <c r="K14" i="25"/>
  <c r="M817" i="2"/>
  <c r="G123" i="2"/>
  <c r="G523" i="2"/>
  <c r="G17" i="2"/>
  <c r="G20" i="2" s="1"/>
  <c r="G132" i="2"/>
  <c r="G294" i="2"/>
  <c r="G75" i="2"/>
  <c r="G417" i="2"/>
  <c r="G420" i="2" s="1"/>
  <c r="G351" i="2"/>
  <c r="G594" i="2"/>
  <c r="G8" i="2"/>
  <c r="G237" i="2"/>
  <c r="G532" i="2"/>
  <c r="G535" i="2" s="1"/>
  <c r="G474" i="2"/>
  <c r="G477" i="2" s="1"/>
  <c r="G465" i="2"/>
  <c r="G246" i="2"/>
  <c r="G249" i="2" s="1"/>
  <c r="G585" i="2"/>
  <c r="G360" i="2"/>
  <c r="G189" i="2"/>
  <c r="G66" i="2"/>
  <c r="G303" i="2"/>
  <c r="G180" i="2"/>
  <c r="G408" i="2"/>
  <c r="T1181" i="2"/>
  <c r="U1181" i="2" s="1"/>
  <c r="K35" i="20"/>
  <c r="L35" i="20" s="1"/>
  <c r="P905" i="2"/>
  <c r="P706" i="2"/>
  <c r="P907" i="2" s="1"/>
  <c r="K35" i="17"/>
  <c r="L35" i="17" s="1"/>
  <c r="K815" i="2"/>
  <c r="K832" i="2"/>
  <c r="K858" i="2"/>
  <c r="K673" i="2"/>
  <c r="D29" i="19" s="1"/>
  <c r="L29" i="19" s="1"/>
  <c r="K30" i="19"/>
  <c r="F30" i="16"/>
  <c r="I574" i="2"/>
  <c r="I677" i="2" s="1"/>
  <c r="I819" i="2" s="1"/>
  <c r="I186" i="2"/>
  <c r="E28" i="16"/>
  <c r="K30" i="25"/>
  <c r="E1250" i="2"/>
  <c r="F969" i="2"/>
  <c r="L816" i="2"/>
  <c r="L674" i="2"/>
  <c r="L636" i="2"/>
  <c r="L15" i="2"/>
  <c r="L857" i="2"/>
  <c r="L59" i="2"/>
  <c r="K28" i="25"/>
  <c r="J1209" i="2"/>
  <c r="J1210" i="2" s="1"/>
  <c r="J174" i="2"/>
  <c r="Q674" i="2"/>
  <c r="Q816" i="2"/>
  <c r="M1253" i="2"/>
  <c r="E14" i="21"/>
  <c r="M129" i="2"/>
  <c r="M174" i="2" s="1"/>
  <c r="D34" i="21"/>
  <c r="G34" i="21" s="1"/>
  <c r="K34" i="21" s="1"/>
  <c r="L34" i="21" s="1"/>
  <c r="K841" i="2"/>
  <c r="K660" i="2"/>
  <c r="D44" i="19" s="1"/>
  <c r="K835" i="2"/>
  <c r="O117" i="2"/>
  <c r="O459" i="2"/>
  <c r="O675" i="2" s="1"/>
  <c r="E30" i="26"/>
  <c r="K30" i="26" s="1"/>
  <c r="O402" i="2"/>
  <c r="K35" i="15"/>
  <c r="L35" i="15" s="1"/>
  <c r="H706" i="2"/>
  <c r="H905" i="2"/>
  <c r="H1253" i="2"/>
  <c r="H129" i="2"/>
  <c r="H174" i="2" s="1"/>
  <c r="E14" i="15"/>
  <c r="H516" i="2"/>
  <c r="H192" i="2"/>
  <c r="G28" i="15" s="1"/>
  <c r="H661" i="2"/>
  <c r="D42" i="15" s="1"/>
  <c r="H839" i="2"/>
  <c r="H842" i="2"/>
  <c r="R135" i="2"/>
  <c r="R1256" i="2"/>
  <c r="R1282" i="2" s="1"/>
  <c r="T246" i="2"/>
  <c r="U246" i="2" s="1"/>
  <c r="V246" i="2" s="1"/>
  <c r="R249" i="2"/>
  <c r="N674" i="2"/>
  <c r="N816" i="2"/>
  <c r="N187" i="2"/>
  <c r="N231" i="2"/>
  <c r="N1279" i="2"/>
  <c r="N1262" i="2"/>
  <c r="J834" i="2"/>
  <c r="J833" i="2"/>
  <c r="J841" i="2"/>
  <c r="J835" i="2"/>
  <c r="J660" i="2"/>
  <c r="D44" i="17" s="1"/>
  <c r="K817" i="2"/>
  <c r="I1253" i="2"/>
  <c r="E14" i="16"/>
  <c r="I129" i="2"/>
  <c r="I288" i="2"/>
  <c r="I857" i="2"/>
  <c r="I15" i="2"/>
  <c r="I59" i="2"/>
  <c r="I636" i="2"/>
  <c r="N833" i="2"/>
  <c r="N834" i="2"/>
  <c r="Q129" i="2"/>
  <c r="Q174" i="2" s="1"/>
  <c r="Q686" i="2" s="1"/>
  <c r="Q1253" i="2"/>
  <c r="M905" i="2"/>
  <c r="M706" i="2"/>
  <c r="K1279" i="2"/>
  <c r="K1262" i="2"/>
  <c r="L839" i="2"/>
  <c r="D34" i="20" s="1"/>
  <c r="G34" i="20" s="1"/>
  <c r="K34" i="20" s="1"/>
  <c r="L34" i="20" s="1"/>
  <c r="L661" i="2"/>
  <c r="D42" i="20" s="1"/>
  <c r="L842" i="2"/>
  <c r="F30" i="20"/>
  <c r="L574" i="2"/>
  <c r="L677" i="2" s="1"/>
  <c r="L819" i="2" s="1"/>
  <c r="L117" i="2"/>
  <c r="J706" i="2"/>
  <c r="J905" i="2"/>
  <c r="K14" i="17"/>
  <c r="P843" i="2"/>
  <c r="P1201" i="2"/>
  <c r="P859" i="2" s="1"/>
  <c r="P840" i="2"/>
  <c r="P672" i="2"/>
  <c r="P704" i="2" s="1"/>
  <c r="P814" i="2"/>
  <c r="K676" i="2"/>
  <c r="D30" i="19" s="1"/>
  <c r="L30" i="19" s="1"/>
  <c r="K818" i="2"/>
  <c r="K1282" i="2"/>
  <c r="O706" i="2"/>
  <c r="O905" i="2"/>
  <c r="O857" i="2"/>
  <c r="O59" i="2"/>
  <c r="O1256" i="2"/>
  <c r="O1282" i="2" s="1"/>
  <c r="O135" i="2"/>
  <c r="G14" i="26" s="1"/>
  <c r="K14" i="26" s="1"/>
  <c r="K28" i="26"/>
  <c r="N815" i="2"/>
  <c r="N832" i="2"/>
  <c r="N858" i="2"/>
  <c r="N673" i="2"/>
  <c r="D29" i="25" s="1"/>
  <c r="L29" i="25" s="1"/>
  <c r="M834" i="2"/>
  <c r="M833" i="2"/>
  <c r="K816" i="2"/>
  <c r="K674" i="2"/>
  <c r="E29" i="15"/>
  <c r="K29" i="15" s="1"/>
  <c r="H345" i="2"/>
  <c r="E30" i="15"/>
  <c r="H459" i="2"/>
  <c r="H675" i="2" s="1"/>
  <c r="H817" i="2" s="1"/>
  <c r="F30" i="15"/>
  <c r="H574" i="2"/>
  <c r="H677" i="2" s="1"/>
  <c r="H819" i="2" s="1"/>
  <c r="H117" i="2"/>
  <c r="T417" i="2"/>
  <c r="U417" i="2" s="1"/>
  <c r="V417" i="2" s="1"/>
  <c r="R420" i="2"/>
  <c r="N818" i="2"/>
  <c r="N676" i="2"/>
  <c r="J674" i="2"/>
  <c r="D30" i="17" s="1"/>
  <c r="L30" i="17" s="1"/>
  <c r="J816" i="2"/>
  <c r="J817" i="2"/>
  <c r="K187" i="2"/>
  <c r="K231" i="2"/>
  <c r="I1256" i="2"/>
  <c r="I135" i="2"/>
  <c r="G14" i="16" s="1"/>
  <c r="I345" i="2"/>
  <c r="E29" i="16"/>
  <c r="K29" i="16" s="1"/>
  <c r="I402" i="2"/>
  <c r="I192" i="2"/>
  <c r="G28" i="16" s="1"/>
  <c r="K28" i="16" s="1"/>
  <c r="N706" i="2"/>
  <c r="N905" i="2"/>
  <c r="J187" i="2"/>
  <c r="J231" i="2"/>
  <c r="F1039" i="2"/>
  <c r="F1041" i="2" s="1"/>
  <c r="F1080" i="2"/>
  <c r="F1086" i="2" s="1"/>
  <c r="F1088" i="2" s="1"/>
  <c r="M674" i="2"/>
  <c r="D30" i="21" s="1"/>
  <c r="M816" i="2"/>
  <c r="F1264" i="2"/>
  <c r="F1262" i="2"/>
  <c r="F1228" i="2" s="1"/>
  <c r="P174" i="2"/>
  <c r="P686" i="2" s="1"/>
  <c r="K1205" i="2"/>
  <c r="K1212" i="2" s="1"/>
  <c r="K174" i="2"/>
  <c r="L818" i="2"/>
  <c r="L676" i="2"/>
  <c r="L186" i="2"/>
  <c r="E28" i="20"/>
  <c r="K28" i="20" s="1"/>
  <c r="L135" i="2"/>
  <c r="G14" i="20" s="1"/>
  <c r="L1256" i="2"/>
  <c r="L1282" i="2" s="1"/>
  <c r="J1279" i="2"/>
  <c r="J1262" i="2"/>
  <c r="R841" i="2"/>
  <c r="R835" i="2"/>
  <c r="R660" i="2"/>
  <c r="R905" i="2"/>
  <c r="R706" i="2"/>
  <c r="R816" i="2"/>
  <c r="R674" i="2"/>
  <c r="R840" i="2"/>
  <c r="R814" i="2"/>
  <c r="R672" i="2"/>
  <c r="R1201" i="2"/>
  <c r="R843" i="2"/>
  <c r="R673" i="2"/>
  <c r="R815" i="2"/>
  <c r="R832" i="2"/>
  <c r="R858" i="2"/>
  <c r="Q832" i="2" l="1"/>
  <c r="Q815" i="2"/>
  <c r="Q673" i="2"/>
  <c r="Q858" i="2"/>
  <c r="Q1201" i="2"/>
  <c r="Q859" i="2" s="1"/>
  <c r="Q814" i="2"/>
  <c r="Q843" i="2"/>
  <c r="Q840" i="2"/>
  <c r="Q672" i="2"/>
  <c r="Q704" i="2" s="1"/>
  <c r="D30" i="25"/>
  <c r="L30" i="25" s="1"/>
  <c r="D34" i="16"/>
  <c r="G34" i="16" s="1"/>
  <c r="K34" i="16" s="1"/>
  <c r="L34" i="16" s="1"/>
  <c r="D14" i="19"/>
  <c r="K686" i="2"/>
  <c r="J672" i="2"/>
  <c r="J1201" i="2"/>
  <c r="J859" i="2" s="1"/>
  <c r="D15" i="17" s="1"/>
  <c r="J814" i="2"/>
  <c r="J843" i="2"/>
  <c r="J840" i="2"/>
  <c r="I1279" i="2"/>
  <c r="I1262" i="2"/>
  <c r="G42" i="15"/>
  <c r="K42" i="15" s="1"/>
  <c r="L42" i="15" s="1"/>
  <c r="K14" i="15"/>
  <c r="D22" i="15"/>
  <c r="H907" i="2"/>
  <c r="O817" i="2"/>
  <c r="M1279" i="2"/>
  <c r="M1262" i="2"/>
  <c r="G306" i="2"/>
  <c r="T303" i="2"/>
  <c r="U303" i="2" s="1"/>
  <c r="V303" i="2" s="1"/>
  <c r="G591" i="2"/>
  <c r="T585" i="2"/>
  <c r="U585" i="2" s="1"/>
  <c r="V585" i="2" s="1"/>
  <c r="G357" i="2"/>
  <c r="T351" i="2"/>
  <c r="U351" i="2" s="1"/>
  <c r="V351" i="2" s="1"/>
  <c r="G1256" i="2"/>
  <c r="G135" i="2"/>
  <c r="G14" i="14" s="1"/>
  <c r="T132" i="2"/>
  <c r="U132" i="2" s="1"/>
  <c r="V132" i="2" s="1"/>
  <c r="T532" i="2"/>
  <c r="U532" i="2" s="1"/>
  <c r="V532" i="2" s="1"/>
  <c r="R1279" i="2"/>
  <c r="R1262" i="2"/>
  <c r="K42" i="26"/>
  <c r="L42" i="26" s="1"/>
  <c r="O815" i="2"/>
  <c r="O858" i="2"/>
  <c r="O832" i="2"/>
  <c r="O673" i="2"/>
  <c r="D29" i="26" s="1"/>
  <c r="L29" i="26" s="1"/>
  <c r="L858" i="2"/>
  <c r="L832" i="2"/>
  <c r="L673" i="2"/>
  <c r="D29" i="20" s="1"/>
  <c r="L29" i="20" s="1"/>
  <c r="L815" i="2"/>
  <c r="K30" i="20"/>
  <c r="M1205" i="2"/>
  <c r="N802" i="2"/>
  <c r="N801" i="2"/>
  <c r="N655" i="2"/>
  <c r="H1209" i="2"/>
  <c r="H1210" i="2" s="1"/>
  <c r="I660" i="2"/>
  <c r="D44" i="16" s="1"/>
  <c r="I841" i="2"/>
  <c r="I835" i="2"/>
  <c r="T477" i="2"/>
  <c r="U477" i="2" s="1"/>
  <c r="V477" i="2" s="1"/>
  <c r="R516" i="2"/>
  <c r="O187" i="2"/>
  <c r="O231" i="2"/>
  <c r="I832" i="2"/>
  <c r="I815" i="2"/>
  <c r="I673" i="2"/>
  <c r="D29" i="16" s="1"/>
  <c r="L29" i="16" s="1"/>
  <c r="I858" i="2"/>
  <c r="D22" i="26"/>
  <c r="O907" i="2"/>
  <c r="L187" i="2"/>
  <c r="L231" i="2"/>
  <c r="K802" i="2"/>
  <c r="K655" i="2"/>
  <c r="K801" i="2"/>
  <c r="F1231" i="2"/>
  <c r="F1234" i="2"/>
  <c r="F1230" i="2"/>
  <c r="F1233" i="2"/>
  <c r="F1235" i="2"/>
  <c r="F1229" i="2"/>
  <c r="F1232" i="2"/>
  <c r="F1236" i="2"/>
  <c r="D22" i="17"/>
  <c r="J907" i="2"/>
  <c r="I816" i="2"/>
  <c r="I674" i="2"/>
  <c r="I1282" i="2"/>
  <c r="H841" i="2"/>
  <c r="H660" i="2"/>
  <c r="D44" i="15" s="1"/>
  <c r="H835" i="2"/>
  <c r="K30" i="15"/>
  <c r="L835" i="2"/>
  <c r="L841" i="2"/>
  <c r="L660" i="2"/>
  <c r="D44" i="20" s="1"/>
  <c r="Q1262" i="2"/>
  <c r="Q1279" i="2"/>
  <c r="I905" i="2"/>
  <c r="I706" i="2"/>
  <c r="I834" i="2"/>
  <c r="I833" i="2"/>
  <c r="H686" i="2"/>
  <c r="D14" i="15"/>
  <c r="E22" i="15" s="1"/>
  <c r="O841" i="2"/>
  <c r="O660" i="2"/>
  <c r="D44" i="26" s="1"/>
  <c r="O835" i="2"/>
  <c r="L706" i="2"/>
  <c r="L905" i="2"/>
  <c r="I231" i="2"/>
  <c r="I187" i="2"/>
  <c r="G72" i="2"/>
  <c r="T66" i="2"/>
  <c r="U66" i="2" s="1"/>
  <c r="V66" i="2" s="1"/>
  <c r="G243" i="2"/>
  <c r="T237" i="2"/>
  <c r="U237" i="2" s="1"/>
  <c r="V237" i="2" s="1"/>
  <c r="G842" i="2"/>
  <c r="G839" i="2"/>
  <c r="G661" i="2"/>
  <c r="D42" i="14" s="1"/>
  <c r="T20" i="2"/>
  <c r="U20" i="2" s="1"/>
  <c r="V20" i="2" s="1"/>
  <c r="R839" i="2"/>
  <c r="R661" i="2"/>
  <c r="R842" i="2"/>
  <c r="T842" i="2" s="1"/>
  <c r="U842" i="2" s="1"/>
  <c r="R59" i="2"/>
  <c r="O818" i="2"/>
  <c r="O676" i="2"/>
  <c r="J22" i="19"/>
  <c r="L174" i="2"/>
  <c r="L807" i="2" s="1"/>
  <c r="D30" i="20"/>
  <c r="L817" i="2"/>
  <c r="M1209" i="2"/>
  <c r="M1210" i="2" s="1"/>
  <c r="F686" i="2"/>
  <c r="F856" i="2" s="1"/>
  <c r="F860" i="2" s="1"/>
  <c r="J836" i="2"/>
  <c r="J807" i="2"/>
  <c r="H807" i="2"/>
  <c r="H836" i="2"/>
  <c r="K836" i="2"/>
  <c r="K807" i="2"/>
  <c r="N807" i="2"/>
  <c r="N836" i="2"/>
  <c r="M836" i="2"/>
  <c r="M807" i="2"/>
  <c r="Q807" i="2"/>
  <c r="Q836" i="2"/>
  <c r="P807" i="2"/>
  <c r="P836" i="2"/>
  <c r="J1212" i="2"/>
  <c r="K30" i="16"/>
  <c r="T474" i="2"/>
  <c r="U474" i="2" s="1"/>
  <c r="V474" i="2" s="1"/>
  <c r="K28" i="15"/>
  <c r="F727" i="2"/>
  <c r="F731" i="2" s="1"/>
  <c r="F758" i="2" s="1"/>
  <c r="F759" i="2" s="1"/>
  <c r="F761" i="2" s="1"/>
  <c r="F765" i="2" s="1"/>
  <c r="F773" i="2" s="1"/>
  <c r="F775" i="2" s="1"/>
  <c r="K14" i="20"/>
  <c r="P856" i="2"/>
  <c r="P860" i="2" s="1"/>
  <c r="F17" i="23"/>
  <c r="N907" i="2"/>
  <c r="D22" i="25"/>
  <c r="K1201" i="2"/>
  <c r="K859" i="2" s="1"/>
  <c r="D15" i="19" s="1"/>
  <c r="D16" i="19" s="1"/>
  <c r="K672" i="2"/>
  <c r="K814" i="2"/>
  <c r="K843" i="2"/>
  <c r="K840" i="2"/>
  <c r="T420" i="2"/>
  <c r="U420" i="2" s="1"/>
  <c r="V420" i="2" s="1"/>
  <c r="R459" i="2"/>
  <c r="R675" i="2" s="1"/>
  <c r="R817" i="2" s="1"/>
  <c r="H815" i="2"/>
  <c r="H673" i="2"/>
  <c r="D29" i="15" s="1"/>
  <c r="L29" i="15" s="1"/>
  <c r="H832" i="2"/>
  <c r="H858" i="2"/>
  <c r="G42" i="20"/>
  <c r="K42" i="20" s="1"/>
  <c r="L42" i="20" s="1"/>
  <c r="F18" i="23"/>
  <c r="Q856" i="2"/>
  <c r="Q860" i="2" s="1"/>
  <c r="I174" i="2"/>
  <c r="I807" i="2" s="1"/>
  <c r="H1279" i="2"/>
  <c r="H1262" i="2"/>
  <c r="O674" i="2"/>
  <c r="O816" i="2"/>
  <c r="M686" i="2"/>
  <c r="D14" i="21"/>
  <c r="E44" i="21" s="1"/>
  <c r="G414" i="2"/>
  <c r="T408" i="2"/>
  <c r="U408" i="2" s="1"/>
  <c r="V408" i="2" s="1"/>
  <c r="G192" i="2"/>
  <c r="T189" i="2"/>
  <c r="U189" i="2" s="1"/>
  <c r="V189" i="2" s="1"/>
  <c r="G471" i="2"/>
  <c r="T465" i="2"/>
  <c r="U465" i="2" s="1"/>
  <c r="V465" i="2" s="1"/>
  <c r="G14" i="2"/>
  <c r="T8" i="2"/>
  <c r="U8" i="2" s="1"/>
  <c r="V8" i="2" s="1"/>
  <c r="G78" i="2"/>
  <c r="T78" i="2" s="1"/>
  <c r="U78" i="2" s="1"/>
  <c r="V78" i="2" s="1"/>
  <c r="T75" i="2"/>
  <c r="U75" i="2" s="1"/>
  <c r="V75" i="2" s="1"/>
  <c r="G529" i="2"/>
  <c r="T523" i="2"/>
  <c r="U523" i="2" s="1"/>
  <c r="V523" i="2" s="1"/>
  <c r="T17" i="2"/>
  <c r="U17" i="2" s="1"/>
  <c r="V17" i="2" s="1"/>
  <c r="O174" i="2"/>
  <c r="O836" i="2" s="1"/>
  <c r="O1209" i="2"/>
  <c r="O1210" i="2" s="1"/>
  <c r="O1212" i="2" s="1"/>
  <c r="Q1205" i="2"/>
  <c r="L1205" i="2"/>
  <c r="I1205" i="2"/>
  <c r="M814" i="2"/>
  <c r="M1201" i="2"/>
  <c r="M859" i="2" s="1"/>
  <c r="D15" i="21" s="1"/>
  <c r="E15" i="21" s="1"/>
  <c r="M672" i="2"/>
  <c r="M843" i="2"/>
  <c r="M840" i="2"/>
  <c r="G42" i="16"/>
  <c r="K42" i="16" s="1"/>
  <c r="L42" i="16" s="1"/>
  <c r="D14" i="25"/>
  <c r="L14" i="25" s="1"/>
  <c r="N686" i="2"/>
  <c r="G44" i="15"/>
  <c r="G45" i="15" s="1"/>
  <c r="G22" i="15"/>
  <c r="H187" i="2"/>
  <c r="H231" i="2"/>
  <c r="D22" i="21"/>
  <c r="E22" i="21" s="1"/>
  <c r="M907" i="2"/>
  <c r="K14" i="16"/>
  <c r="N814" i="2"/>
  <c r="N672" i="2"/>
  <c r="N1201" i="2"/>
  <c r="N859" i="2" s="1"/>
  <c r="D15" i="25" s="1"/>
  <c r="N843" i="2"/>
  <c r="N840" i="2"/>
  <c r="T249" i="2"/>
  <c r="U249" i="2" s="1"/>
  <c r="V249" i="2" s="1"/>
  <c r="R288" i="2"/>
  <c r="T135" i="2"/>
  <c r="U135" i="2" s="1"/>
  <c r="V135" i="2" s="1"/>
  <c r="D34" i="15"/>
  <c r="G34" i="15" s="1"/>
  <c r="K34" i="15" s="1"/>
  <c r="L34" i="15" s="1"/>
  <c r="H818" i="2"/>
  <c r="H676" i="2"/>
  <c r="D30" i="15" s="1"/>
  <c r="K14" i="21"/>
  <c r="J686" i="2"/>
  <c r="D14" i="17"/>
  <c r="L14" i="17" s="1"/>
  <c r="G186" i="2"/>
  <c r="E28" i="14"/>
  <c r="T180" i="2"/>
  <c r="U180" i="2" s="1"/>
  <c r="V180" i="2" s="1"/>
  <c r="G363" i="2"/>
  <c r="T363" i="2" s="1"/>
  <c r="U363" i="2" s="1"/>
  <c r="V363" i="2" s="1"/>
  <c r="T360" i="2"/>
  <c r="U360" i="2" s="1"/>
  <c r="V360" i="2" s="1"/>
  <c r="G597" i="2"/>
  <c r="T597" i="2" s="1"/>
  <c r="U597" i="2" s="1"/>
  <c r="V597" i="2" s="1"/>
  <c r="T594" i="2"/>
  <c r="U594" i="2" s="1"/>
  <c r="V594" i="2" s="1"/>
  <c r="G300" i="2"/>
  <c r="T294" i="2"/>
  <c r="U294" i="2" s="1"/>
  <c r="V294" i="2" s="1"/>
  <c r="G129" i="2"/>
  <c r="G1253" i="2"/>
  <c r="E14" i="14"/>
  <c r="T123" i="2"/>
  <c r="U123" i="2" s="1"/>
  <c r="V123" i="2" s="1"/>
  <c r="T535" i="2"/>
  <c r="U535" i="2" s="1"/>
  <c r="V535" i="2" s="1"/>
  <c r="R574" i="2"/>
  <c r="R677" i="2" s="1"/>
  <c r="R819" i="2" s="1"/>
  <c r="R1209" i="2"/>
  <c r="R1210" i="2" s="1"/>
  <c r="R1205" i="2"/>
  <c r="R174" i="2"/>
  <c r="D34" i="26"/>
  <c r="G34" i="26" s="1"/>
  <c r="K34" i="26" s="1"/>
  <c r="L34" i="26" s="1"/>
  <c r="O1279" i="2"/>
  <c r="O1262" i="2"/>
  <c r="L1279" i="2"/>
  <c r="L1262" i="2"/>
  <c r="L14" i="19"/>
  <c r="P1212" i="2"/>
  <c r="Q1209" i="2"/>
  <c r="Q1210" i="2" s="1"/>
  <c r="L1209" i="2"/>
  <c r="L1210" i="2" s="1"/>
  <c r="L1212" i="2" s="1"/>
  <c r="I1209" i="2"/>
  <c r="I1210" i="2" s="1"/>
  <c r="H1205" i="2"/>
  <c r="H1212" i="2" s="1"/>
  <c r="I818" i="2"/>
  <c r="I676" i="2"/>
  <c r="D30" i="16" s="1"/>
  <c r="L30" i="21"/>
  <c r="H1282" i="2"/>
  <c r="R859" i="2"/>
  <c r="R907" i="2"/>
  <c r="T839" i="2" l="1"/>
  <c r="U839" i="2" s="1"/>
  <c r="H22" i="21"/>
  <c r="D30" i="26"/>
  <c r="L30" i="26" s="1"/>
  <c r="E16" i="21"/>
  <c r="Q1212" i="2"/>
  <c r="G28" i="14"/>
  <c r="K28" i="14" s="1"/>
  <c r="T192" i="2"/>
  <c r="U192" i="2" s="1"/>
  <c r="V192" i="2" s="1"/>
  <c r="F13" i="23"/>
  <c r="M856" i="2"/>
  <c r="M860" i="2" s="1"/>
  <c r="O807" i="2"/>
  <c r="F8" i="23"/>
  <c r="H856" i="2"/>
  <c r="K669" i="2"/>
  <c r="D43" i="19"/>
  <c r="R818" i="2"/>
  <c r="R676" i="2"/>
  <c r="G402" i="2"/>
  <c r="T357" i="2"/>
  <c r="U357" i="2" s="1"/>
  <c r="V357" i="2" s="1"/>
  <c r="G29" i="14"/>
  <c r="T306" i="2"/>
  <c r="U306" i="2" s="1"/>
  <c r="V306" i="2" s="1"/>
  <c r="E44" i="15"/>
  <c r="R807" i="2"/>
  <c r="R836" i="2"/>
  <c r="R686" i="2"/>
  <c r="G174" i="2"/>
  <c r="T129" i="2"/>
  <c r="U129" i="2" s="1"/>
  <c r="V129" i="2" s="1"/>
  <c r="G1205" i="2"/>
  <c r="T1205" i="2" s="1"/>
  <c r="U1205" i="2" s="1"/>
  <c r="V1205" i="2" s="1"/>
  <c r="G1209" i="2"/>
  <c r="L14" i="21"/>
  <c r="F14" i="23"/>
  <c r="N856" i="2"/>
  <c r="N860" i="2" s="1"/>
  <c r="O802" i="2"/>
  <c r="O655" i="2"/>
  <c r="O801" i="2"/>
  <c r="G516" i="2"/>
  <c r="T471" i="2"/>
  <c r="U471" i="2" s="1"/>
  <c r="V471" i="2" s="1"/>
  <c r="P936" i="2"/>
  <c r="P1043" i="2"/>
  <c r="P1090" i="2" s="1"/>
  <c r="F59" i="23" s="1"/>
  <c r="P971" i="2"/>
  <c r="P1002" i="2" s="1"/>
  <c r="F38" i="23"/>
  <c r="G30" i="14"/>
  <c r="G117" i="2"/>
  <c r="T72" i="2"/>
  <c r="U72" i="2" s="1"/>
  <c r="V72" i="2" s="1"/>
  <c r="D22" i="20"/>
  <c r="L907" i="2"/>
  <c r="E1234" i="2"/>
  <c r="M1212" i="2"/>
  <c r="K14" i="14"/>
  <c r="J704" i="2"/>
  <c r="D28" i="17"/>
  <c r="L28" i="17" s="1"/>
  <c r="R1212" i="2"/>
  <c r="G345" i="2"/>
  <c r="E29" i="14"/>
  <c r="K29" i="14" s="1"/>
  <c r="T300" i="2"/>
  <c r="U300" i="2" s="1"/>
  <c r="V300" i="2" s="1"/>
  <c r="G187" i="2"/>
  <c r="G231" i="2"/>
  <c r="T186" i="2"/>
  <c r="U186" i="2" s="1"/>
  <c r="V186" i="2" s="1"/>
  <c r="I44" i="17"/>
  <c r="I45" i="17" s="1"/>
  <c r="F44" i="17"/>
  <c r="J15" i="17"/>
  <c r="J16" i="17" s="1"/>
  <c r="D16" i="17"/>
  <c r="F15" i="17"/>
  <c r="F16" i="17" s="1"/>
  <c r="J22" i="17"/>
  <c r="F22" i="17"/>
  <c r="J44" i="17"/>
  <c r="J45" i="17" s="1"/>
  <c r="H22" i="17"/>
  <c r="H44" i="17"/>
  <c r="H45" i="17" s="1"/>
  <c r="H15" i="17"/>
  <c r="H16" i="17" s="1"/>
  <c r="I15" i="17"/>
  <c r="I16" i="17" s="1"/>
  <c r="I22" i="17"/>
  <c r="E22" i="17"/>
  <c r="G15" i="17"/>
  <c r="G16" i="17" s="1"/>
  <c r="E44" i="17"/>
  <c r="G22" i="17"/>
  <c r="E15" i="17"/>
  <c r="G44" i="17"/>
  <c r="G45" i="17" s="1"/>
  <c r="N704" i="2"/>
  <c r="D28" i="25"/>
  <c r="L28" i="25" s="1"/>
  <c r="O686" i="2"/>
  <c r="D14" i="26"/>
  <c r="G459" i="2"/>
  <c r="E30" i="14"/>
  <c r="T414" i="2"/>
  <c r="U414" i="2" s="1"/>
  <c r="V414" i="2" s="1"/>
  <c r="I686" i="2"/>
  <c r="D14" i="16"/>
  <c r="L14" i="16" s="1"/>
  <c r="L30" i="16"/>
  <c r="I836" i="2"/>
  <c r="F1043" i="2"/>
  <c r="F936" i="2"/>
  <c r="F938" i="2" s="1"/>
  <c r="F971" i="2"/>
  <c r="F862" i="2"/>
  <c r="D14" i="20"/>
  <c r="L686" i="2"/>
  <c r="G42" i="14"/>
  <c r="K42" i="14" s="1"/>
  <c r="L42" i="14" s="1"/>
  <c r="L814" i="2"/>
  <c r="L1201" i="2"/>
  <c r="L859" i="2" s="1"/>
  <c r="D15" i="20" s="1"/>
  <c r="L672" i="2"/>
  <c r="L843" i="2"/>
  <c r="L840" i="2"/>
  <c r="O1201" i="2"/>
  <c r="O859" i="2" s="1"/>
  <c r="D15" i="26" s="1"/>
  <c r="O840" i="2"/>
  <c r="O814" i="2"/>
  <c r="O843" i="2"/>
  <c r="O672" i="2"/>
  <c r="N669" i="2"/>
  <c r="D43" i="25"/>
  <c r="L30" i="20"/>
  <c r="G1282" i="2"/>
  <c r="T1256" i="2"/>
  <c r="U1256" i="2" s="1"/>
  <c r="V1256" i="2" s="1"/>
  <c r="G636" i="2"/>
  <c r="T591" i="2"/>
  <c r="U591" i="2" s="1"/>
  <c r="V591" i="2" s="1"/>
  <c r="F11" i="23"/>
  <c r="K856" i="2"/>
  <c r="K860" i="2" s="1"/>
  <c r="H802" i="2"/>
  <c r="H801" i="2"/>
  <c r="H655" i="2"/>
  <c r="P801" i="2"/>
  <c r="P655" i="2"/>
  <c r="P669" i="2" s="1"/>
  <c r="P802" i="2"/>
  <c r="R833" i="2"/>
  <c r="R834" i="2"/>
  <c r="F15" i="25"/>
  <c r="F16" i="25" s="1"/>
  <c r="H44" i="25"/>
  <c r="H45" i="25" s="1"/>
  <c r="F22" i="25"/>
  <c r="H15" i="25"/>
  <c r="H16" i="25" s="1"/>
  <c r="J22" i="25"/>
  <c r="J15" i="25"/>
  <c r="J16" i="25" s="1"/>
  <c r="H22" i="25"/>
  <c r="D16" i="25"/>
  <c r="J44" i="25"/>
  <c r="J45" i="25" s="1"/>
  <c r="F44" i="25"/>
  <c r="I15" i="25"/>
  <c r="I16" i="25" s="1"/>
  <c r="I44" i="25"/>
  <c r="I45" i="25" s="1"/>
  <c r="I22" i="25"/>
  <c r="E15" i="25"/>
  <c r="G15" i="25"/>
  <c r="G16" i="25" s="1"/>
  <c r="E22" i="25"/>
  <c r="E44" i="25"/>
  <c r="G22" i="25"/>
  <c r="G44" i="25"/>
  <c r="G45" i="25" s="1"/>
  <c r="I1212" i="2"/>
  <c r="L802" i="2"/>
  <c r="L655" i="2"/>
  <c r="L801" i="2"/>
  <c r="G1279" i="2"/>
  <c r="G1262" i="2"/>
  <c r="T1253" i="2"/>
  <c r="F10" i="23"/>
  <c r="J856" i="2"/>
  <c r="J860" i="2" s="1"/>
  <c r="E45" i="21"/>
  <c r="H672" i="2"/>
  <c r="H1201" i="2"/>
  <c r="H859" i="2" s="1"/>
  <c r="D15" i="15" s="1"/>
  <c r="G15" i="15" s="1"/>
  <c r="G16" i="15" s="1"/>
  <c r="H814" i="2"/>
  <c r="H840" i="2"/>
  <c r="H843" i="2"/>
  <c r="M704" i="2"/>
  <c r="D28" i="21"/>
  <c r="L28" i="21" s="1"/>
  <c r="G574" i="2"/>
  <c r="F30" i="14"/>
  <c r="T529" i="2"/>
  <c r="U529" i="2" s="1"/>
  <c r="V529" i="2" s="1"/>
  <c r="G59" i="2"/>
  <c r="T59" i="2" s="1"/>
  <c r="U59" i="2" s="1"/>
  <c r="V59" i="2" s="1"/>
  <c r="G15" i="2"/>
  <c r="G857" i="2"/>
  <c r="T857" i="2" s="1"/>
  <c r="U857" i="2" s="1"/>
  <c r="T14" i="2"/>
  <c r="U14" i="2" s="1"/>
  <c r="V14" i="2" s="1"/>
  <c r="D16" i="21"/>
  <c r="H44" i="21"/>
  <c r="H45" i="21" s="1"/>
  <c r="J15" i="21"/>
  <c r="J16" i="21" s="1"/>
  <c r="F44" i="21"/>
  <c r="H15" i="21"/>
  <c r="H16" i="21" s="1"/>
  <c r="F15" i="21"/>
  <c r="F16" i="21" s="1"/>
  <c r="J44" i="21"/>
  <c r="J45" i="21" s="1"/>
  <c r="F22" i="21"/>
  <c r="J22" i="21"/>
  <c r="I44" i="21"/>
  <c r="I45" i="21" s="1"/>
  <c r="I15" i="21"/>
  <c r="I16" i="21" s="1"/>
  <c r="I22" i="21"/>
  <c r="G44" i="21"/>
  <c r="G45" i="21" s="1"/>
  <c r="G15" i="21"/>
  <c r="G16" i="21" s="1"/>
  <c r="G22" i="21"/>
  <c r="F39" i="23"/>
  <c r="Q936" i="2"/>
  <c r="Q971" i="2"/>
  <c r="Q1002" i="2" s="1"/>
  <c r="Q1043" i="2"/>
  <c r="Q1090" i="2" s="1"/>
  <c r="F60" i="23" s="1"/>
  <c r="K704" i="2"/>
  <c r="D28" i="19"/>
  <c r="L28" i="19" s="1"/>
  <c r="J655" i="2"/>
  <c r="J801" i="2"/>
  <c r="J802" i="2"/>
  <c r="L836" i="2"/>
  <c r="T661" i="2"/>
  <c r="U661" i="2" s="1"/>
  <c r="V661" i="2" s="1"/>
  <c r="D34" i="14"/>
  <c r="G34" i="14" s="1"/>
  <c r="K34" i="14" s="1"/>
  <c r="L34" i="14" s="1"/>
  <c r="G288" i="2"/>
  <c r="T243" i="2"/>
  <c r="U243" i="2" s="1"/>
  <c r="V243" i="2" s="1"/>
  <c r="I672" i="2"/>
  <c r="I814" i="2"/>
  <c r="I1201" i="2"/>
  <c r="I859" i="2" s="1"/>
  <c r="D15" i="16" s="1"/>
  <c r="F15" i="16" s="1"/>
  <c r="F16" i="16" s="1"/>
  <c r="I843" i="2"/>
  <c r="I840" i="2"/>
  <c r="L14" i="15"/>
  <c r="F44" i="15"/>
  <c r="F22" i="15"/>
  <c r="J44" i="15"/>
  <c r="J45" i="15" s="1"/>
  <c r="J22" i="15"/>
  <c r="H22" i="15"/>
  <c r="H44" i="15"/>
  <c r="H45" i="15" s="1"/>
  <c r="I22" i="15"/>
  <c r="I44" i="15"/>
  <c r="I45" i="15" s="1"/>
  <c r="D22" i="16"/>
  <c r="I907" i="2"/>
  <c r="F44" i="20"/>
  <c r="L30" i="15"/>
  <c r="K1197" i="2"/>
  <c r="K844" i="2" s="1"/>
  <c r="G22" i="26"/>
  <c r="F1237" i="2"/>
  <c r="F1240" i="2" s="1"/>
  <c r="N1197" i="2"/>
  <c r="N844" i="2" s="1"/>
  <c r="F15" i="19"/>
  <c r="F16" i="19" s="1"/>
  <c r="F44" i="19"/>
  <c r="F22" i="19"/>
  <c r="J15" i="19"/>
  <c r="J16" i="19" s="1"/>
  <c r="J44" i="19"/>
  <c r="J45" i="19" s="1"/>
  <c r="H44" i="19"/>
  <c r="H45" i="19" s="1"/>
  <c r="H15" i="19"/>
  <c r="H16" i="19" s="1"/>
  <c r="H22" i="19"/>
  <c r="I22" i="19"/>
  <c r="I44" i="19"/>
  <c r="I45" i="19" s="1"/>
  <c r="I15" i="19"/>
  <c r="I16" i="19" s="1"/>
  <c r="E22" i="19"/>
  <c r="G22" i="19"/>
  <c r="E44" i="19"/>
  <c r="E15" i="19"/>
  <c r="G44" i="19"/>
  <c r="G45" i="19" s="1"/>
  <c r="G15" i="19"/>
  <c r="G16" i="19" s="1"/>
  <c r="E15" i="15" l="1"/>
  <c r="K44" i="21"/>
  <c r="L44" i="21" s="1"/>
  <c r="K22" i="15"/>
  <c r="L22" i="15" s="1"/>
  <c r="K22" i="21"/>
  <c r="L22" i="21" s="1"/>
  <c r="J15" i="15"/>
  <c r="J16" i="15" s="1"/>
  <c r="I15" i="15"/>
  <c r="I16" i="15" s="1"/>
  <c r="H15" i="15"/>
  <c r="H16" i="15" s="1"/>
  <c r="D16" i="15"/>
  <c r="F1248" i="2"/>
  <c r="J669" i="2"/>
  <c r="D43" i="17"/>
  <c r="L1197" i="2"/>
  <c r="L844" i="2" s="1"/>
  <c r="P1197" i="2"/>
  <c r="P844" i="2" s="1"/>
  <c r="G905" i="2"/>
  <c r="T905" i="2" s="1"/>
  <c r="U905" i="2" s="1"/>
  <c r="V905" i="2" s="1"/>
  <c r="G706" i="2"/>
  <c r="T636" i="2"/>
  <c r="U636" i="2" s="1"/>
  <c r="V636" i="2" s="1"/>
  <c r="F43" i="25"/>
  <c r="D45" i="25"/>
  <c r="F1243" i="2"/>
  <c r="F12" i="23"/>
  <c r="L856" i="2"/>
  <c r="L860" i="2" s="1"/>
  <c r="K30" i="14"/>
  <c r="K15" i="17"/>
  <c r="E16" i="17"/>
  <c r="F1246" i="2"/>
  <c r="E1246" i="2" s="1"/>
  <c r="O1197" i="2"/>
  <c r="O844" i="2" s="1"/>
  <c r="G1210" i="2"/>
  <c r="G1212" i="2" s="1"/>
  <c r="T1209" i="2"/>
  <c r="U1209" i="2" s="1"/>
  <c r="V1209" i="2" s="1"/>
  <c r="R856" i="2"/>
  <c r="R860" i="2" s="1"/>
  <c r="F19" i="23"/>
  <c r="F16" i="23" s="1"/>
  <c r="G674" i="2"/>
  <c r="T674" i="2" s="1"/>
  <c r="U674" i="2" s="1"/>
  <c r="V674" i="2" s="1"/>
  <c r="G816" i="2"/>
  <c r="T816" i="2" s="1"/>
  <c r="U816" i="2" s="1"/>
  <c r="V816" i="2" s="1"/>
  <c r="T402" i="2"/>
  <c r="U402" i="2" s="1"/>
  <c r="V402" i="2" s="1"/>
  <c r="F43" i="19"/>
  <c r="D45" i="19"/>
  <c r="H860" i="2"/>
  <c r="M936" i="2"/>
  <c r="M971" i="2"/>
  <c r="M1002" i="2" s="1"/>
  <c r="F34" i="23"/>
  <c r="M1043" i="2"/>
  <c r="M1090" i="2" s="1"/>
  <c r="F55" i="23" s="1"/>
  <c r="Q801" i="2"/>
  <c r="Q802" i="2"/>
  <c r="Q655" i="2"/>
  <c r="Q669" i="2" s="1"/>
  <c r="K15" i="19"/>
  <c r="E16" i="19"/>
  <c r="E16" i="15"/>
  <c r="E45" i="19"/>
  <c r="K44" i="19"/>
  <c r="L44" i="19" s="1"/>
  <c r="F15" i="15"/>
  <c r="F16" i="15" s="1"/>
  <c r="G834" i="2"/>
  <c r="T834" i="2" s="1"/>
  <c r="U834" i="2" s="1"/>
  <c r="V834" i="2" s="1"/>
  <c r="G833" i="2"/>
  <c r="T833" i="2" s="1"/>
  <c r="U833" i="2" s="1"/>
  <c r="V833" i="2" s="1"/>
  <c r="T288" i="2"/>
  <c r="U288" i="2" s="1"/>
  <c r="V288" i="2" s="1"/>
  <c r="D28" i="15"/>
  <c r="L28" i="15" s="1"/>
  <c r="H704" i="2"/>
  <c r="U1253" i="2"/>
  <c r="V1253" i="2" s="1"/>
  <c r="T1262" i="2"/>
  <c r="U1262" i="2" s="1"/>
  <c r="V1262" i="2" s="1"/>
  <c r="D43" i="20"/>
  <c r="L669" i="2"/>
  <c r="E45" i="25"/>
  <c r="K44" i="25"/>
  <c r="L44" i="25" s="1"/>
  <c r="D43" i="15"/>
  <c r="H669" i="2"/>
  <c r="F32" i="23"/>
  <c r="K936" i="2"/>
  <c r="K1043" i="2"/>
  <c r="K1090" i="2" s="1"/>
  <c r="F53" i="23" s="1"/>
  <c r="K971" i="2"/>
  <c r="K1002" i="2" s="1"/>
  <c r="C14" i="23"/>
  <c r="N791" i="2"/>
  <c r="N809" i="2" s="1"/>
  <c r="N702" i="2"/>
  <c r="N708" i="2" s="1"/>
  <c r="L704" i="2"/>
  <c r="D28" i="20"/>
  <c r="L28" i="20" s="1"/>
  <c r="F1247" i="2"/>
  <c r="L14" i="20"/>
  <c r="F22" i="20"/>
  <c r="J22" i="20"/>
  <c r="H44" i="20"/>
  <c r="H45" i="20" s="1"/>
  <c r="H22" i="20"/>
  <c r="J44" i="20"/>
  <c r="J45" i="20" s="1"/>
  <c r="J15" i="20"/>
  <c r="J16" i="20" s="1"/>
  <c r="H15" i="20"/>
  <c r="H16" i="20" s="1"/>
  <c r="D16" i="20"/>
  <c r="F15" i="20"/>
  <c r="F16" i="20" s="1"/>
  <c r="I44" i="20"/>
  <c r="I45" i="20" s="1"/>
  <c r="I15" i="20"/>
  <c r="I16" i="20" s="1"/>
  <c r="I22" i="20"/>
  <c r="G44" i="20"/>
  <c r="G45" i="20" s="1"/>
  <c r="E22" i="20"/>
  <c r="G15" i="20"/>
  <c r="G16" i="20" s="1"/>
  <c r="E44" i="20"/>
  <c r="E15" i="20"/>
  <c r="F1090" i="2"/>
  <c r="F1092" i="2" s="1"/>
  <c r="F1045" i="2"/>
  <c r="J15" i="16"/>
  <c r="J16" i="16" s="1"/>
  <c r="J22" i="16"/>
  <c r="J44" i="16"/>
  <c r="J45" i="16" s="1"/>
  <c r="F22" i="16"/>
  <c r="F44" i="16"/>
  <c r="D16" i="16"/>
  <c r="H15" i="16"/>
  <c r="H16" i="16" s="1"/>
  <c r="H22" i="16"/>
  <c r="H44" i="16"/>
  <c r="H45" i="16" s="1"/>
  <c r="I44" i="16"/>
  <c r="I45" i="16" s="1"/>
  <c r="I22" i="16"/>
  <c r="I15" i="16"/>
  <c r="I16" i="16" s="1"/>
  <c r="E22" i="16"/>
  <c r="G44" i="16"/>
  <c r="G45" i="16" s="1"/>
  <c r="E15" i="16"/>
  <c r="E44" i="16"/>
  <c r="G22" i="16"/>
  <c r="G15" i="16"/>
  <c r="G16" i="16" s="1"/>
  <c r="G675" i="2"/>
  <c r="T459" i="2"/>
  <c r="U459" i="2" s="1"/>
  <c r="V459" i="2" s="1"/>
  <c r="K22" i="17"/>
  <c r="L22" i="17" s="1"/>
  <c r="R802" i="2"/>
  <c r="R801" i="2"/>
  <c r="R655" i="2"/>
  <c r="R669" i="2" s="1"/>
  <c r="M655" i="2"/>
  <c r="M802" i="2"/>
  <c r="M801" i="2"/>
  <c r="G22" i="20"/>
  <c r="O669" i="2"/>
  <c r="D43" i="26"/>
  <c r="N936" i="2"/>
  <c r="N971" i="2"/>
  <c r="N1002" i="2" s="1"/>
  <c r="F35" i="23"/>
  <c r="N1043" i="2"/>
  <c r="N1090" i="2" s="1"/>
  <c r="F56" i="23" s="1"/>
  <c r="R704" i="2"/>
  <c r="K702" i="2"/>
  <c r="K708" i="2" s="1"/>
  <c r="C11" i="23"/>
  <c r="K791" i="2"/>
  <c r="K809" i="2" s="1"/>
  <c r="I655" i="2"/>
  <c r="I802" i="2"/>
  <c r="I801" i="2"/>
  <c r="K15" i="25"/>
  <c r="E16" i="25"/>
  <c r="H1197" i="2"/>
  <c r="H844" i="2" s="1"/>
  <c r="O704" i="2"/>
  <c r="D28" i="26"/>
  <c r="L28" i="26" s="1"/>
  <c r="S919" i="2"/>
  <c r="I856" i="2"/>
  <c r="I860" i="2" s="1"/>
  <c r="F9" i="23"/>
  <c r="I22" i="26"/>
  <c r="J44" i="26"/>
  <c r="J45" i="26" s="1"/>
  <c r="J22" i="26"/>
  <c r="F44" i="26"/>
  <c r="I44" i="26"/>
  <c r="I45" i="26" s="1"/>
  <c r="F22" i="26"/>
  <c r="H22" i="26"/>
  <c r="H44" i="26"/>
  <c r="H45" i="26" s="1"/>
  <c r="G15" i="26"/>
  <c r="G16" i="26" s="1"/>
  <c r="E15" i="26"/>
  <c r="F15" i="26"/>
  <c r="F16" i="26" s="1"/>
  <c r="J15" i="26"/>
  <c r="J16" i="26" s="1"/>
  <c r="D16" i="26"/>
  <c r="I15" i="26"/>
  <c r="I16" i="26" s="1"/>
  <c r="H15" i="26"/>
  <c r="H16" i="26" s="1"/>
  <c r="E22" i="26"/>
  <c r="L14" i="26"/>
  <c r="E44" i="26"/>
  <c r="F1241" i="2"/>
  <c r="F1242" i="2"/>
  <c r="K15" i="21"/>
  <c r="G677" i="2"/>
  <c r="T574" i="2"/>
  <c r="U574" i="2" s="1"/>
  <c r="V574" i="2" s="1"/>
  <c r="K22" i="19"/>
  <c r="L22" i="19" s="1"/>
  <c r="F1245" i="2"/>
  <c r="I704" i="2"/>
  <c r="D28" i="16"/>
  <c r="L28" i="16" s="1"/>
  <c r="J1197" i="2"/>
  <c r="J844" i="2" s="1"/>
  <c r="F31" i="23"/>
  <c r="J1043" i="2"/>
  <c r="J1090" i="2" s="1"/>
  <c r="F52" i="23" s="1"/>
  <c r="J971" i="2"/>
  <c r="J1002" i="2" s="1"/>
  <c r="J936" i="2"/>
  <c r="K22" i="25"/>
  <c r="L22" i="25" s="1"/>
  <c r="C17" i="23"/>
  <c r="P702" i="2"/>
  <c r="P708" i="2" s="1"/>
  <c r="P791" i="2"/>
  <c r="P809" i="2" s="1"/>
  <c r="F1002" i="2"/>
  <c r="F973" i="2"/>
  <c r="F15" i="23"/>
  <c r="O856" i="2"/>
  <c r="O860" i="2" s="1"/>
  <c r="E45" i="17"/>
  <c r="K44" i="17"/>
  <c r="L44" i="17" s="1"/>
  <c r="G672" i="2"/>
  <c r="G814" i="2"/>
  <c r="G1201" i="2"/>
  <c r="G843" i="2"/>
  <c r="T843" i="2" s="1"/>
  <c r="U843" i="2" s="1"/>
  <c r="V843" i="2" s="1"/>
  <c r="G840" i="2"/>
  <c r="T840" i="2" s="1"/>
  <c r="U840" i="2" s="1"/>
  <c r="V840" i="2" s="1"/>
  <c r="T231" i="2"/>
  <c r="G832" i="2"/>
  <c r="G858" i="2"/>
  <c r="T858" i="2" s="1"/>
  <c r="U858" i="2" s="1"/>
  <c r="G673" i="2"/>
  <c r="G815" i="2"/>
  <c r="T345" i="2"/>
  <c r="G44" i="26"/>
  <c r="G45" i="26" s="1"/>
  <c r="G835" i="2"/>
  <c r="T835" i="2" s="1"/>
  <c r="U835" i="2" s="1"/>
  <c r="G841" i="2"/>
  <c r="T841" i="2" s="1"/>
  <c r="U841" i="2" s="1"/>
  <c r="V841" i="2" s="1"/>
  <c r="G660" i="2"/>
  <c r="T117" i="2"/>
  <c r="U117" i="2" s="1"/>
  <c r="V117" i="2" s="1"/>
  <c r="G676" i="2"/>
  <c r="T676" i="2" s="1"/>
  <c r="U676" i="2" s="1"/>
  <c r="V676" i="2" s="1"/>
  <c r="G818" i="2"/>
  <c r="T818" i="2" s="1"/>
  <c r="U818" i="2" s="1"/>
  <c r="V818" i="2" s="1"/>
  <c r="T516" i="2"/>
  <c r="U516" i="2" s="1"/>
  <c r="V516" i="2" s="1"/>
  <c r="D14" i="14"/>
  <c r="L14" i="14" s="1"/>
  <c r="G686" i="2"/>
  <c r="T174" i="2"/>
  <c r="U174" i="2" s="1"/>
  <c r="V174" i="2" s="1"/>
  <c r="G836" i="2"/>
  <c r="T836" i="2" s="1"/>
  <c r="U836" i="2" s="1"/>
  <c r="G807" i="2"/>
  <c r="T807" i="2" s="1"/>
  <c r="U807" i="2" s="1"/>
  <c r="K44" i="15"/>
  <c r="L44" i="15" s="1"/>
  <c r="E45" i="15"/>
  <c r="F1244" i="2"/>
  <c r="C19" i="23"/>
  <c r="R702" i="2"/>
  <c r="R791" i="2"/>
  <c r="R971" i="2"/>
  <c r="R1043" i="2"/>
  <c r="F40" i="23"/>
  <c r="F37" i="23" s="1"/>
  <c r="R936" i="2"/>
  <c r="F1250" i="2" l="1"/>
  <c r="E1251" i="2" s="1"/>
  <c r="K22" i="20"/>
  <c r="L22" i="20" s="1"/>
  <c r="U231" i="2"/>
  <c r="V231" i="2" s="1"/>
  <c r="T814" i="2"/>
  <c r="U814" i="2" s="1"/>
  <c r="V814" i="2" s="1"/>
  <c r="O971" i="2"/>
  <c r="O1002" i="2" s="1"/>
  <c r="O936" i="2"/>
  <c r="O1043" i="2"/>
  <c r="O1090" i="2" s="1"/>
  <c r="F57" i="23" s="1"/>
  <c r="F36" i="23"/>
  <c r="P951" i="2"/>
  <c r="P956" i="2" s="1"/>
  <c r="P901" i="2"/>
  <c r="P916" i="2"/>
  <c r="C38" i="23"/>
  <c r="P882" i="2"/>
  <c r="P1022" i="2"/>
  <c r="M1197" i="2"/>
  <c r="M844" i="2" s="1"/>
  <c r="R1197" i="2"/>
  <c r="R844" i="2" s="1"/>
  <c r="G817" i="2"/>
  <c r="T817" i="2" s="1"/>
  <c r="U817" i="2" s="1"/>
  <c r="V817" i="2" s="1"/>
  <c r="D30" i="14"/>
  <c r="L30" i="14" s="1"/>
  <c r="T675" i="2"/>
  <c r="U675" i="2" s="1"/>
  <c r="V675" i="2" s="1"/>
  <c r="E45" i="16"/>
  <c r="K44" i="16"/>
  <c r="L44" i="16" s="1"/>
  <c r="N847" i="2"/>
  <c r="N846" i="2"/>
  <c r="N820" i="2"/>
  <c r="D26" i="25" s="1"/>
  <c r="N845" i="2"/>
  <c r="N678" i="2"/>
  <c r="N682" i="2" s="1"/>
  <c r="F43" i="15"/>
  <c r="D45" i="15"/>
  <c r="L702" i="2"/>
  <c r="L708" i="2" s="1"/>
  <c r="C12" i="23"/>
  <c r="L791" i="2"/>
  <c r="L809" i="2" s="1"/>
  <c r="Q702" i="2"/>
  <c r="Q708" i="2" s="1"/>
  <c r="Q791" i="2"/>
  <c r="Q809" i="2" s="1"/>
  <c r="C18" i="23"/>
  <c r="G655" i="2"/>
  <c r="G801" i="2"/>
  <c r="G802" i="2"/>
  <c r="T802" i="2" s="1"/>
  <c r="U802" i="2" s="1"/>
  <c r="V802" i="2" s="1"/>
  <c r="T1212" i="2"/>
  <c r="U1212" i="2" s="1"/>
  <c r="V1212" i="2" s="1"/>
  <c r="J702" i="2"/>
  <c r="J708" i="2" s="1"/>
  <c r="C10" i="23"/>
  <c r="J791" i="2"/>
  <c r="J809" i="2" s="1"/>
  <c r="D29" i="14"/>
  <c r="L29" i="14" s="1"/>
  <c r="T673" i="2"/>
  <c r="U673" i="2" s="1"/>
  <c r="V673" i="2" s="1"/>
  <c r="D43" i="16"/>
  <c r="I669" i="2"/>
  <c r="K820" i="2"/>
  <c r="D26" i="19" s="1"/>
  <c r="K678" i="2"/>
  <c r="K682" i="2" s="1"/>
  <c r="K845" i="2"/>
  <c r="D36" i="19" s="1"/>
  <c r="K847" i="2"/>
  <c r="K846" i="2"/>
  <c r="F43" i="26"/>
  <c r="D45" i="26"/>
  <c r="K15" i="16"/>
  <c r="E16" i="16"/>
  <c r="F1052" i="2"/>
  <c r="F1053" i="2"/>
  <c r="N1022" i="2"/>
  <c r="N882" i="2"/>
  <c r="N951" i="2"/>
  <c r="N956" i="2" s="1"/>
  <c r="C35" i="23"/>
  <c r="N901" i="2"/>
  <c r="N916" i="2"/>
  <c r="F43" i="20"/>
  <c r="D45" i="20"/>
  <c r="K15" i="15"/>
  <c r="K43" i="19"/>
  <c r="L43" i="19" s="1"/>
  <c r="F45" i="19"/>
  <c r="K45" i="19" s="1"/>
  <c r="L45" i="19" s="1"/>
  <c r="L15" i="17"/>
  <c r="K16" i="17"/>
  <c r="L16" i="17" s="1"/>
  <c r="D22" i="14"/>
  <c r="H22" i="14" s="1"/>
  <c r="G907" i="2"/>
  <c r="T907" i="2" s="1"/>
  <c r="U907" i="2" s="1"/>
  <c r="V907" i="2" s="1"/>
  <c r="T706" i="2"/>
  <c r="U706" i="2" s="1"/>
  <c r="V706" i="2" s="1"/>
  <c r="G856" i="2"/>
  <c r="F7" i="23"/>
  <c r="F20" i="23" s="1"/>
  <c r="T686" i="2"/>
  <c r="U686" i="2" s="1"/>
  <c r="V686" i="2" s="1"/>
  <c r="D28" i="14"/>
  <c r="L28" i="14" s="1"/>
  <c r="G704" i="2"/>
  <c r="T672" i="2"/>
  <c r="U672" i="2" s="1"/>
  <c r="V672" i="2" s="1"/>
  <c r="P820" i="2"/>
  <c r="P678" i="2"/>
  <c r="P682" i="2" s="1"/>
  <c r="P846" i="2"/>
  <c r="P847" i="2"/>
  <c r="P845" i="2"/>
  <c r="G819" i="2"/>
  <c r="T677" i="2"/>
  <c r="I1043" i="2"/>
  <c r="I1090" i="2" s="1"/>
  <c r="F51" i="23" s="1"/>
  <c r="I936" i="2"/>
  <c r="F30" i="23"/>
  <c r="I971" i="2"/>
  <c r="I1002" i="2" s="1"/>
  <c r="S941" i="2"/>
  <c r="S943" i="2" s="1"/>
  <c r="S929" i="2"/>
  <c r="S931" i="2" s="1"/>
  <c r="S921" i="2"/>
  <c r="C16" i="23"/>
  <c r="J22" i="14"/>
  <c r="F22" i="14"/>
  <c r="I22" i="14"/>
  <c r="E22" i="14"/>
  <c r="G22" i="14"/>
  <c r="S984" i="2"/>
  <c r="F984" i="2"/>
  <c r="L15" i="21"/>
  <c r="K16" i="21"/>
  <c r="L16" i="21" s="1"/>
  <c r="E45" i="26"/>
  <c r="K44" i="26"/>
  <c r="L44" i="26" s="1"/>
  <c r="E16" i="26"/>
  <c r="K15" i="26"/>
  <c r="K22" i="26"/>
  <c r="L22" i="26" s="1"/>
  <c r="L15" i="25"/>
  <c r="K16" i="25"/>
  <c r="L16" i="25" s="1"/>
  <c r="T704" i="2"/>
  <c r="U704" i="2" s="1"/>
  <c r="V704" i="2" s="1"/>
  <c r="O791" i="2"/>
  <c r="O809" i="2" s="1"/>
  <c r="O702" i="2"/>
  <c r="O708" i="2" s="1"/>
  <c r="C15" i="23"/>
  <c r="M669" i="2"/>
  <c r="D43" i="21"/>
  <c r="E45" i="20"/>
  <c r="K44" i="20"/>
  <c r="L44" i="20" s="1"/>
  <c r="Q1197" i="2"/>
  <c r="Q844" i="2" s="1"/>
  <c r="D44" i="14"/>
  <c r="G44" i="14" s="1"/>
  <c r="G45" i="14" s="1"/>
  <c r="T660" i="2"/>
  <c r="U660" i="2" s="1"/>
  <c r="V660" i="2" s="1"/>
  <c r="U345" i="2"/>
  <c r="V345" i="2" s="1"/>
  <c r="T815" i="2"/>
  <c r="U815" i="2" s="1"/>
  <c r="V815" i="2" s="1"/>
  <c r="T832" i="2"/>
  <c r="U832" i="2" s="1"/>
  <c r="V832" i="2" s="1"/>
  <c r="G859" i="2"/>
  <c r="T1201" i="2"/>
  <c r="U1201" i="2" s="1"/>
  <c r="V1201" i="2" s="1"/>
  <c r="I1197" i="2"/>
  <c r="I844" i="2" s="1"/>
  <c r="K901" i="2"/>
  <c r="C32" i="23"/>
  <c r="K951" i="2"/>
  <c r="K956" i="2" s="1"/>
  <c r="K1022" i="2"/>
  <c r="K882" i="2"/>
  <c r="K916" i="2"/>
  <c r="K22" i="16"/>
  <c r="L22" i="16" s="1"/>
  <c r="K15" i="20"/>
  <c r="E16" i="20"/>
  <c r="H702" i="2"/>
  <c r="H708" i="2" s="1"/>
  <c r="C8" i="23"/>
  <c r="H791" i="2"/>
  <c r="H809" i="2" s="1"/>
  <c r="K16" i="19"/>
  <c r="L16" i="19" s="1"/>
  <c r="L15" i="19"/>
  <c r="H971" i="2"/>
  <c r="H1002" i="2" s="1"/>
  <c r="H936" i="2"/>
  <c r="F29" i="23"/>
  <c r="H1043" i="2"/>
  <c r="H1090" i="2" s="1"/>
  <c r="F50" i="23" s="1"/>
  <c r="L936" i="2"/>
  <c r="F33" i="23"/>
  <c r="L1043" i="2"/>
  <c r="L1090" i="2" s="1"/>
  <c r="F54" i="23" s="1"/>
  <c r="L971" i="2"/>
  <c r="L1002" i="2" s="1"/>
  <c r="K43" i="25"/>
  <c r="L43" i="25" s="1"/>
  <c r="F45" i="25"/>
  <c r="K45" i="25" s="1"/>
  <c r="L45" i="25" s="1"/>
  <c r="F43" i="17"/>
  <c r="D45" i="17"/>
  <c r="R1002" i="2"/>
  <c r="R809" i="2"/>
  <c r="R708" i="2"/>
  <c r="R1090" i="2"/>
  <c r="S934" i="2" l="1"/>
  <c r="P848" i="2"/>
  <c r="P903" i="2" s="1"/>
  <c r="P909" i="2" s="1"/>
  <c r="H678" i="2"/>
  <c r="H682" i="2" s="1"/>
  <c r="H846" i="2"/>
  <c r="H820" i="2"/>
  <c r="D26" i="15" s="1"/>
  <c r="H847" i="2"/>
  <c r="H845" i="2"/>
  <c r="K1069" i="2"/>
  <c r="K1075" i="2" s="1"/>
  <c r="K1028" i="2"/>
  <c r="F45" i="26"/>
  <c r="K45" i="26" s="1"/>
  <c r="L45" i="26" s="1"/>
  <c r="K43" i="26"/>
  <c r="L43" i="26" s="1"/>
  <c r="K1033" i="2"/>
  <c r="D11" i="23"/>
  <c r="E11" i="23" s="1"/>
  <c r="G11" i="23" s="1"/>
  <c r="K925" i="2"/>
  <c r="K961" i="2"/>
  <c r="K684" i="2"/>
  <c r="G1197" i="2"/>
  <c r="T801" i="2"/>
  <c r="U801" i="2" s="1"/>
  <c r="V801" i="2" s="1"/>
  <c r="Q882" i="2"/>
  <c r="Q1022" i="2"/>
  <c r="Q901" i="2"/>
  <c r="Q951" i="2"/>
  <c r="Q956" i="2" s="1"/>
  <c r="C39" i="23"/>
  <c r="Q916" i="2"/>
  <c r="N961" i="2"/>
  <c r="D14" i="23"/>
  <c r="E14" i="23" s="1"/>
  <c r="G14" i="23" s="1"/>
  <c r="N925" i="2"/>
  <c r="N1033" i="2"/>
  <c r="N684" i="2"/>
  <c r="M702" i="2"/>
  <c r="M708" i="2" s="1"/>
  <c r="C13" i="23"/>
  <c r="M791" i="2"/>
  <c r="M809" i="2" s="1"/>
  <c r="K16" i="26"/>
  <c r="L16" i="26" s="1"/>
  <c r="L15" i="26"/>
  <c r="D17" i="23"/>
  <c r="E17" i="23" s="1"/>
  <c r="G17" i="23" s="1"/>
  <c r="P925" i="2"/>
  <c r="P1033" i="2"/>
  <c r="P961" i="2"/>
  <c r="P684" i="2"/>
  <c r="G860" i="2"/>
  <c r="T856" i="2"/>
  <c r="U856" i="2" s="1"/>
  <c r="V856" i="2" s="1"/>
  <c r="F45" i="20"/>
  <c r="K45" i="20" s="1"/>
  <c r="L45" i="20" s="1"/>
  <c r="K43" i="20"/>
  <c r="L43" i="20" s="1"/>
  <c r="N1069" i="2"/>
  <c r="N1075" i="2" s="1"/>
  <c r="N1028" i="2"/>
  <c r="L15" i="16"/>
  <c r="K16" i="16"/>
  <c r="L16" i="16" s="1"/>
  <c r="K1234" i="2"/>
  <c r="K1233" i="2"/>
  <c r="K1235" i="2"/>
  <c r="K1230" i="2"/>
  <c r="K1232" i="2"/>
  <c r="K1236" i="2"/>
  <c r="K1229" i="2"/>
  <c r="K1228" i="2"/>
  <c r="K1231" i="2"/>
  <c r="K992" i="2"/>
  <c r="K852" i="2"/>
  <c r="J820" i="2"/>
  <c r="D26" i="17" s="1"/>
  <c r="J846" i="2"/>
  <c r="J845" i="2"/>
  <c r="J678" i="2"/>
  <c r="J682" i="2" s="1"/>
  <c r="J847" i="2"/>
  <c r="D43" i="14"/>
  <c r="G669" i="2"/>
  <c r="T655" i="2"/>
  <c r="U655" i="2" s="1"/>
  <c r="Q845" i="2"/>
  <c r="Q848" i="2" s="1"/>
  <c r="Q820" i="2"/>
  <c r="Q847" i="2"/>
  <c r="Q846" i="2"/>
  <c r="Q678" i="2"/>
  <c r="Q682" i="2" s="1"/>
  <c r="L847" i="2"/>
  <c r="L820" i="2"/>
  <c r="D26" i="20" s="1"/>
  <c r="L845" i="2"/>
  <c r="L678" i="2"/>
  <c r="L682" i="2" s="1"/>
  <c r="L846" i="2"/>
  <c r="D36" i="25"/>
  <c r="N848" i="2"/>
  <c r="D15" i="14"/>
  <c r="T859" i="2"/>
  <c r="U859" i="2" s="1"/>
  <c r="F43" i="21"/>
  <c r="D45" i="21"/>
  <c r="O901" i="2"/>
  <c r="O882" i="2"/>
  <c r="C36" i="23"/>
  <c r="O916" i="2"/>
  <c r="O951" i="2"/>
  <c r="O956" i="2" s="1"/>
  <c r="O1022" i="2"/>
  <c r="S1014" i="2"/>
  <c r="S996" i="2"/>
  <c r="J44" i="14"/>
  <c r="J45" i="14" s="1"/>
  <c r="U677" i="2"/>
  <c r="V677" i="2" s="1"/>
  <c r="T819" i="2"/>
  <c r="U819" i="2" s="1"/>
  <c r="V819" i="2" s="1"/>
  <c r="F45" i="17"/>
  <c r="K45" i="17" s="1"/>
  <c r="L45" i="17" s="1"/>
  <c r="K43" i="17"/>
  <c r="L43" i="17" s="1"/>
  <c r="K982" i="2"/>
  <c r="K1008" i="2"/>
  <c r="H916" i="2"/>
  <c r="H1022" i="2"/>
  <c r="H951" i="2"/>
  <c r="H956" i="2" s="1"/>
  <c r="H901" i="2"/>
  <c r="C29" i="23"/>
  <c r="H882" i="2"/>
  <c r="L15" i="20"/>
  <c r="K16" i="20"/>
  <c r="L16" i="20" s="1"/>
  <c r="E44" i="14"/>
  <c r="K22" i="14"/>
  <c r="L22" i="14" s="1"/>
  <c r="I44" i="14"/>
  <c r="I45" i="14" s="1"/>
  <c r="F44" i="14"/>
  <c r="P1234" i="2"/>
  <c r="P1233" i="2"/>
  <c r="P1229" i="2"/>
  <c r="P1228" i="2"/>
  <c r="P1230" i="2"/>
  <c r="P1231" i="2"/>
  <c r="P1236" i="2"/>
  <c r="P1232" i="2"/>
  <c r="P852" i="2"/>
  <c r="P1235" i="2"/>
  <c r="P992" i="2"/>
  <c r="K848" i="2"/>
  <c r="C9" i="23"/>
  <c r="I702" i="2"/>
  <c r="I708" i="2" s="1"/>
  <c r="I791" i="2"/>
  <c r="I809" i="2" s="1"/>
  <c r="N1233" i="2"/>
  <c r="N1235" i="2"/>
  <c r="N1232" i="2"/>
  <c r="N1234" i="2"/>
  <c r="N1236" i="2"/>
  <c r="N1229" i="2"/>
  <c r="N1230" i="2"/>
  <c r="N1228" i="2"/>
  <c r="N1231" i="2"/>
  <c r="N992" i="2"/>
  <c r="N852" i="2"/>
  <c r="P1069" i="2"/>
  <c r="P1075" i="2" s="1"/>
  <c r="P1028" i="2"/>
  <c r="O846" i="2"/>
  <c r="O845" i="2"/>
  <c r="O847" i="2"/>
  <c r="O678" i="2"/>
  <c r="O682" i="2" s="1"/>
  <c r="O820" i="2"/>
  <c r="D26" i="26" s="1"/>
  <c r="F987" i="2"/>
  <c r="F996" i="2"/>
  <c r="F998" i="2" s="1"/>
  <c r="F1014" i="2"/>
  <c r="F1010" i="2"/>
  <c r="F1012" i="2" s="1"/>
  <c r="H44" i="14"/>
  <c r="H45" i="14" s="1"/>
  <c r="L15" i="15"/>
  <c r="K16" i="15"/>
  <c r="L16" i="15" s="1"/>
  <c r="N1008" i="2"/>
  <c r="N982" i="2"/>
  <c r="G36" i="19"/>
  <c r="G38" i="19" s="1"/>
  <c r="F36" i="19"/>
  <c r="F38" i="19" s="1"/>
  <c r="I36" i="19"/>
  <c r="I38" i="19" s="1"/>
  <c r="J36" i="19"/>
  <c r="J38" i="19" s="1"/>
  <c r="H36" i="19"/>
  <c r="H38" i="19" s="1"/>
  <c r="E36" i="19"/>
  <c r="F43" i="16"/>
  <c r="D45" i="16"/>
  <c r="J916" i="2"/>
  <c r="C31" i="23"/>
  <c r="J882" i="2"/>
  <c r="J1022" i="2"/>
  <c r="J901" i="2"/>
  <c r="J951" i="2"/>
  <c r="J956" i="2" s="1"/>
  <c r="L1022" i="2"/>
  <c r="L901" i="2"/>
  <c r="L882" i="2"/>
  <c r="C33" i="23"/>
  <c r="L916" i="2"/>
  <c r="L951" i="2"/>
  <c r="L956" i="2" s="1"/>
  <c r="F45" i="15"/>
  <c r="K45" i="15" s="1"/>
  <c r="L45" i="15" s="1"/>
  <c r="K43" i="15"/>
  <c r="L43" i="15" s="1"/>
  <c r="P1008" i="2"/>
  <c r="P982" i="2"/>
  <c r="R820" i="2"/>
  <c r="R846" i="2"/>
  <c r="R845" i="2"/>
  <c r="R847" i="2"/>
  <c r="R678" i="2"/>
  <c r="R916" i="2"/>
  <c r="C40" i="23"/>
  <c r="C37" i="23" s="1"/>
  <c r="R951" i="2"/>
  <c r="R882" i="2"/>
  <c r="R901" i="2"/>
  <c r="R1022" i="2"/>
  <c r="F61" i="23"/>
  <c r="F58" i="23" s="1"/>
  <c r="P927" i="2" l="1"/>
  <c r="P1035" i="2"/>
  <c r="P1082" i="2" s="1"/>
  <c r="P963" i="2"/>
  <c r="P994" i="2" s="1"/>
  <c r="Q1035" i="2"/>
  <c r="Q1082" i="2" s="1"/>
  <c r="Q963" i="2"/>
  <c r="Q994" i="2" s="1"/>
  <c r="Q927" i="2"/>
  <c r="Q903" i="2"/>
  <c r="Q909" i="2" s="1"/>
  <c r="L982" i="2"/>
  <c r="L1008" i="2"/>
  <c r="J1008" i="2"/>
  <c r="J982" i="2"/>
  <c r="K36" i="19"/>
  <c r="L36" i="19" s="1"/>
  <c r="E38" i="19"/>
  <c r="K38" i="19" s="1"/>
  <c r="L1069" i="2"/>
  <c r="L1075" i="2" s="1"/>
  <c r="L1028" i="2"/>
  <c r="O961" i="2"/>
  <c r="O925" i="2"/>
  <c r="O1033" i="2"/>
  <c r="D15" i="23"/>
  <c r="E15" i="23" s="1"/>
  <c r="O684" i="2"/>
  <c r="C59" i="23"/>
  <c r="N1237" i="2"/>
  <c r="N1244" i="2" s="1"/>
  <c r="N1270" i="2" s="1"/>
  <c r="N1318" i="2" s="1"/>
  <c r="N1240" i="2"/>
  <c r="N1246" i="2"/>
  <c r="N1272" i="2" s="1"/>
  <c r="N1308" i="2" s="1"/>
  <c r="D38" i="23"/>
  <c r="E38" i="23" s="1"/>
  <c r="G38" i="23" s="1"/>
  <c r="P854" i="2"/>
  <c r="P713" i="2"/>
  <c r="E45" i="14"/>
  <c r="K44" i="14"/>
  <c r="L44" i="14" s="1"/>
  <c r="O982" i="2"/>
  <c r="O1008" i="2"/>
  <c r="I15" i="14"/>
  <c r="I16" i="14" s="1"/>
  <c r="G15" i="14"/>
  <c r="G16" i="14" s="1"/>
  <c r="D16" i="14"/>
  <c r="H15" i="14"/>
  <c r="H16" i="14" s="1"/>
  <c r="F15" i="14"/>
  <c r="F16" i="14" s="1"/>
  <c r="J15" i="14"/>
  <c r="J16" i="14" s="1"/>
  <c r="E15" i="14"/>
  <c r="H36" i="25"/>
  <c r="H38" i="25" s="1"/>
  <c r="J36" i="25"/>
  <c r="J38" i="25" s="1"/>
  <c r="G36" i="25"/>
  <c r="G38" i="25" s="1"/>
  <c r="F36" i="25"/>
  <c r="F38" i="25" s="1"/>
  <c r="E36" i="25"/>
  <c r="I36" i="25"/>
  <c r="I38" i="25" s="1"/>
  <c r="L1232" i="2"/>
  <c r="L1234" i="2"/>
  <c r="L1228" i="2"/>
  <c r="L1235" i="2"/>
  <c r="L1229" i="2"/>
  <c r="L1233" i="2"/>
  <c r="L1236" i="2"/>
  <c r="L1231" i="2"/>
  <c r="L1230" i="2"/>
  <c r="L992" i="2"/>
  <c r="L852" i="2"/>
  <c r="G791" i="2"/>
  <c r="G702" i="2"/>
  <c r="C7" i="23"/>
  <c r="T669" i="2"/>
  <c r="U669" i="2" s="1"/>
  <c r="V669" i="2" s="1"/>
  <c r="J848" i="2"/>
  <c r="D36" i="17"/>
  <c r="G844" i="2"/>
  <c r="T1197" i="2"/>
  <c r="U1197" i="2" s="1"/>
  <c r="V1197" i="2" s="1"/>
  <c r="J1028" i="2"/>
  <c r="J1069" i="2"/>
  <c r="J1075" i="2" s="1"/>
  <c r="F1000" i="2"/>
  <c r="F1004" i="2" s="1"/>
  <c r="D35" i="23"/>
  <c r="E35" i="23" s="1"/>
  <c r="G35" i="23" s="1"/>
  <c r="N854" i="2"/>
  <c r="N713" i="2"/>
  <c r="N1242" i="2"/>
  <c r="N1268" i="2" s="1"/>
  <c r="N1303" i="2" s="1"/>
  <c r="K963" i="2"/>
  <c r="K994" i="2" s="1"/>
  <c r="K927" i="2"/>
  <c r="K1035" i="2"/>
  <c r="K1082" i="2" s="1"/>
  <c r="D38" i="19"/>
  <c r="K903" i="2"/>
  <c r="K909" i="2" s="1"/>
  <c r="P1237" i="2"/>
  <c r="P1246" i="2" s="1"/>
  <c r="P1272" i="2" s="1"/>
  <c r="P1308" i="2" s="1"/>
  <c r="Q1235" i="2"/>
  <c r="Q1228" i="2"/>
  <c r="Q1229" i="2"/>
  <c r="Q1230" i="2"/>
  <c r="Q1234" i="2"/>
  <c r="Q1231" i="2"/>
  <c r="Q1233" i="2"/>
  <c r="Q1236" i="2"/>
  <c r="Q1232" i="2"/>
  <c r="Q992" i="2"/>
  <c r="Q852" i="2"/>
  <c r="F43" i="14"/>
  <c r="D45" i="14"/>
  <c r="C40" i="25"/>
  <c r="C47" i="25"/>
  <c r="P1080" i="2"/>
  <c r="P1086" i="2" s="1"/>
  <c r="D59" i="23" s="1"/>
  <c r="P1039" i="2"/>
  <c r="P1041" i="2" s="1"/>
  <c r="P1045" i="2" s="1"/>
  <c r="M845" i="2"/>
  <c r="M820" i="2"/>
  <c r="D26" i="21" s="1"/>
  <c r="M678" i="2"/>
  <c r="M682" i="2" s="1"/>
  <c r="M847" i="2"/>
  <c r="M846" i="2"/>
  <c r="Q1028" i="2"/>
  <c r="Q1069" i="2"/>
  <c r="Q1075" i="2" s="1"/>
  <c r="K1080" i="2"/>
  <c r="K1039" i="2"/>
  <c r="K1041" i="2" s="1"/>
  <c r="K1045" i="2" s="1"/>
  <c r="C40" i="19"/>
  <c r="C47" i="19"/>
  <c r="H1235" i="2"/>
  <c r="H1230" i="2"/>
  <c r="H1234" i="2"/>
  <c r="H1233" i="2"/>
  <c r="H1232" i="2"/>
  <c r="H1236" i="2"/>
  <c r="H1229" i="2"/>
  <c r="H1231" i="2"/>
  <c r="H1228" i="2"/>
  <c r="H852" i="2"/>
  <c r="H992" i="2"/>
  <c r="K43" i="16"/>
  <c r="L43" i="16" s="1"/>
  <c r="F45" i="16"/>
  <c r="K45" i="16" s="1"/>
  <c r="L45" i="16" s="1"/>
  <c r="D36" i="26"/>
  <c r="O848" i="2"/>
  <c r="N1241" i="2"/>
  <c r="N1267" i="2" s="1"/>
  <c r="N1298" i="2" s="1"/>
  <c r="I916" i="2"/>
  <c r="I1022" i="2"/>
  <c r="I882" i="2"/>
  <c r="I901" i="2"/>
  <c r="I951" i="2"/>
  <c r="I956" i="2" s="1"/>
  <c r="C30" i="23"/>
  <c r="P1241" i="2"/>
  <c r="P1267" i="2" s="1"/>
  <c r="P1298" i="2" s="1"/>
  <c r="H1008" i="2"/>
  <c r="H982" i="2"/>
  <c r="K43" i="21"/>
  <c r="L43" i="21" s="1"/>
  <c r="F45" i="21"/>
  <c r="K45" i="21" s="1"/>
  <c r="L45" i="21" s="1"/>
  <c r="L925" i="2"/>
  <c r="L1033" i="2"/>
  <c r="D12" i="23"/>
  <c r="E12" i="23" s="1"/>
  <c r="G12" i="23" s="1"/>
  <c r="L961" i="2"/>
  <c r="L684" i="2"/>
  <c r="Q961" i="2"/>
  <c r="Q967" i="2" s="1"/>
  <c r="Q969" i="2" s="1"/>
  <c r="Q925" i="2"/>
  <c r="D18" i="23"/>
  <c r="E18" i="23" s="1"/>
  <c r="G18" i="23" s="1"/>
  <c r="Q1033" i="2"/>
  <c r="Q684" i="2"/>
  <c r="J1235" i="2"/>
  <c r="J1234" i="2"/>
  <c r="J1233" i="2"/>
  <c r="J1230" i="2"/>
  <c r="J1236" i="2"/>
  <c r="J1232" i="2"/>
  <c r="J1229" i="2"/>
  <c r="J1228" i="2"/>
  <c r="J1231" i="2"/>
  <c r="J852" i="2"/>
  <c r="J992" i="2"/>
  <c r="K1237" i="2"/>
  <c r="K1247" i="2" s="1"/>
  <c r="K1273" i="2" s="1"/>
  <c r="K1328" i="2" s="1"/>
  <c r="C56" i="23"/>
  <c r="F28" i="23"/>
  <c r="F41" i="23" s="1"/>
  <c r="G936" i="2"/>
  <c r="T936" i="2" s="1"/>
  <c r="U936" i="2" s="1"/>
  <c r="G971" i="2"/>
  <c r="G1043" i="2"/>
  <c r="T860" i="2"/>
  <c r="N1080" i="2"/>
  <c r="K967" i="2"/>
  <c r="K969" i="2" s="1"/>
  <c r="C53" i="23"/>
  <c r="O1229" i="2"/>
  <c r="O1231" i="2"/>
  <c r="O992" i="2"/>
  <c r="O1236" i="2"/>
  <c r="O1228" i="2"/>
  <c r="O1232" i="2"/>
  <c r="O1234" i="2"/>
  <c r="O1233" i="2"/>
  <c r="O1235" i="2"/>
  <c r="O1230" i="2"/>
  <c r="O852" i="2"/>
  <c r="N1243" i="2"/>
  <c r="N1248" i="2"/>
  <c r="N1274" i="2" s="1"/>
  <c r="N1333" i="2" s="1"/>
  <c r="N1247" i="2"/>
  <c r="I847" i="2"/>
  <c r="I820" i="2"/>
  <c r="D26" i="16" s="1"/>
  <c r="I845" i="2"/>
  <c r="I846" i="2"/>
  <c r="I678" i="2"/>
  <c r="I682" i="2" s="1"/>
  <c r="P1243" i="2"/>
  <c r="P1269" i="2" s="1"/>
  <c r="P1313" i="2" s="1"/>
  <c r="H1028" i="2"/>
  <c r="H1069" i="2"/>
  <c r="H1075" i="2" s="1"/>
  <c r="O1069" i="2"/>
  <c r="O1075" i="2" s="1"/>
  <c r="C57" i="23" s="1"/>
  <c r="O1028" i="2"/>
  <c r="D38" i="25"/>
  <c r="N1035" i="2"/>
  <c r="N1082" i="2" s="1"/>
  <c r="N963" i="2"/>
  <c r="N994" i="2" s="1"/>
  <c r="N927" i="2"/>
  <c r="N903" i="2"/>
  <c r="N909" i="2" s="1"/>
  <c r="L848" i="2"/>
  <c r="D36" i="20"/>
  <c r="J1033" i="2"/>
  <c r="J925" i="2"/>
  <c r="D10" i="23"/>
  <c r="E10" i="23" s="1"/>
  <c r="G10" i="23" s="1"/>
  <c r="J961" i="2"/>
  <c r="J684" i="2"/>
  <c r="D32" i="23"/>
  <c r="E32" i="23" s="1"/>
  <c r="G32" i="23" s="1"/>
  <c r="K713" i="2"/>
  <c r="K854" i="2"/>
  <c r="M882" i="2"/>
  <c r="M951" i="2"/>
  <c r="M956" i="2" s="1"/>
  <c r="C34" i="23"/>
  <c r="M1022" i="2"/>
  <c r="M901" i="2"/>
  <c r="M916" i="2"/>
  <c r="Q982" i="2"/>
  <c r="Q1008" i="2"/>
  <c r="D36" i="15"/>
  <c r="H848" i="2"/>
  <c r="H925" i="2"/>
  <c r="D8" i="23"/>
  <c r="E8" i="23" s="1"/>
  <c r="G8" i="23" s="1"/>
  <c r="H1033" i="2"/>
  <c r="H961" i="2"/>
  <c r="H684" i="2"/>
  <c r="R682" i="2"/>
  <c r="R1235" i="2"/>
  <c r="R1236" i="2"/>
  <c r="R1234" i="2"/>
  <c r="R1232" i="2"/>
  <c r="R1231" i="2"/>
  <c r="R1228" i="2"/>
  <c r="R1233" i="2"/>
  <c r="R1229" i="2"/>
  <c r="R1230" i="2"/>
  <c r="R852" i="2"/>
  <c r="R992" i="2"/>
  <c r="R956" i="2"/>
  <c r="R1069" i="2"/>
  <c r="R1028" i="2"/>
  <c r="G15" i="23"/>
  <c r="R848" i="2"/>
  <c r="P1247" i="2" l="1"/>
  <c r="P1273" i="2" s="1"/>
  <c r="P1328" i="2" s="1"/>
  <c r="P1248" i="2"/>
  <c r="P1274" i="2" s="1"/>
  <c r="P1333" i="2" s="1"/>
  <c r="P1245" i="2"/>
  <c r="P1271" i="2" s="1"/>
  <c r="P1323" i="2" s="1"/>
  <c r="K1241" i="2"/>
  <c r="K1267" i="2" s="1"/>
  <c r="K1298" i="2" s="1"/>
  <c r="N1086" i="2"/>
  <c r="D56" i="23" s="1"/>
  <c r="E56" i="23" s="1"/>
  <c r="G56" i="23" s="1"/>
  <c r="P1240" i="2"/>
  <c r="P967" i="2"/>
  <c r="P969" i="2" s="1"/>
  <c r="N1039" i="2"/>
  <c r="N1041" i="2" s="1"/>
  <c r="N1045" i="2" s="1"/>
  <c r="N1053" i="2" s="1"/>
  <c r="H927" i="2"/>
  <c r="H1035" i="2"/>
  <c r="H1082" i="2" s="1"/>
  <c r="D38" i="15"/>
  <c r="H963" i="2"/>
  <c r="H994" i="2" s="1"/>
  <c r="H903" i="2"/>
  <c r="H909" i="2" s="1"/>
  <c r="M1028" i="2"/>
  <c r="M1069" i="2"/>
  <c r="M1075" i="2" s="1"/>
  <c r="J1080" i="2"/>
  <c r="C40" i="26"/>
  <c r="C47" i="26"/>
  <c r="C40" i="15"/>
  <c r="C47" i="15"/>
  <c r="G1002" i="2"/>
  <c r="T1002" i="2" s="1"/>
  <c r="U1002" i="2" s="1"/>
  <c r="V1002" i="2" s="1"/>
  <c r="J1237" i="2"/>
  <c r="J1244" i="2" s="1"/>
  <c r="J1270" i="2" s="1"/>
  <c r="J1318" i="2" s="1"/>
  <c r="P1052" i="2"/>
  <c r="P1053" i="2"/>
  <c r="K1245" i="2"/>
  <c r="K1271" i="2" s="1"/>
  <c r="K1323" i="2" s="1"/>
  <c r="K43" i="14"/>
  <c r="L43" i="14" s="1"/>
  <c r="F45" i="14"/>
  <c r="K45" i="14" s="1"/>
  <c r="L45" i="14" s="1"/>
  <c r="P1266" i="2"/>
  <c r="P1293" i="2" s="1"/>
  <c r="T844" i="2"/>
  <c r="U844" i="2" s="1"/>
  <c r="K1248" i="2"/>
  <c r="K1274" i="2" s="1"/>
  <c r="K1333" i="2" s="1"/>
  <c r="D33" i="23"/>
  <c r="E33" i="23" s="1"/>
  <c r="G33" i="23" s="1"/>
  <c r="L854" i="2"/>
  <c r="L713" i="2"/>
  <c r="L1237" i="2"/>
  <c r="L1247" i="2" s="1"/>
  <c r="L1273" i="2" s="1"/>
  <c r="L1328" i="2" s="1"/>
  <c r="P919" i="2"/>
  <c r="P862" i="2"/>
  <c r="N1266" i="2"/>
  <c r="N1293" i="2" s="1"/>
  <c r="N1338" i="2"/>
  <c r="I925" i="2"/>
  <c r="D9" i="23"/>
  <c r="E9" i="23" s="1"/>
  <c r="G9" i="23" s="1"/>
  <c r="I961" i="2"/>
  <c r="I1033" i="2"/>
  <c r="I684" i="2"/>
  <c r="O713" i="2"/>
  <c r="D36" i="23"/>
  <c r="E36" i="23" s="1"/>
  <c r="G36" i="23" s="1"/>
  <c r="O854" i="2"/>
  <c r="J1242" i="2"/>
  <c r="J1268" i="2" s="1"/>
  <c r="J1303" i="2" s="1"/>
  <c r="H1080" i="2"/>
  <c r="H1086" i="2" s="1"/>
  <c r="D50" i="23" s="1"/>
  <c r="H1039" i="2"/>
  <c r="H1041" i="2" s="1"/>
  <c r="H1045" i="2" s="1"/>
  <c r="I36" i="20"/>
  <c r="I38" i="20" s="1"/>
  <c r="J36" i="20"/>
  <c r="J38" i="20" s="1"/>
  <c r="H36" i="20"/>
  <c r="H38" i="20" s="1"/>
  <c r="F36" i="20"/>
  <c r="F38" i="20" s="1"/>
  <c r="E36" i="20"/>
  <c r="G36" i="20"/>
  <c r="G38" i="20" s="1"/>
  <c r="N1340" i="2"/>
  <c r="N1273" i="2"/>
  <c r="N1328" i="2" s="1"/>
  <c r="K1246" i="2"/>
  <c r="K1272" i="2" s="1"/>
  <c r="K1308" i="2" s="1"/>
  <c r="J1241" i="2"/>
  <c r="J1267" i="2" s="1"/>
  <c r="J1298" i="2" s="1"/>
  <c r="J1245" i="2"/>
  <c r="J1271" i="2" s="1"/>
  <c r="J1323" i="2" s="1"/>
  <c r="Q973" i="2"/>
  <c r="Q984" i="2"/>
  <c r="L1080" i="2"/>
  <c r="H1237" i="2"/>
  <c r="H1248" i="2" s="1"/>
  <c r="H1274" i="2" s="1"/>
  <c r="H1333" i="2" s="1"/>
  <c r="K1052" i="2"/>
  <c r="K1053" i="2"/>
  <c r="D13" i="23"/>
  <c r="E13" i="23" s="1"/>
  <c r="G13" i="23" s="1"/>
  <c r="M1033" i="2"/>
  <c r="M961" i="2"/>
  <c r="M925" i="2"/>
  <c r="M684" i="2"/>
  <c r="K1244" i="2"/>
  <c r="K1270" i="2" s="1"/>
  <c r="K1318" i="2" s="1"/>
  <c r="D39" i="23"/>
  <c r="E39" i="23" s="1"/>
  <c r="G39" i="23" s="1"/>
  <c r="Q854" i="2"/>
  <c r="Q713" i="2"/>
  <c r="K1086" i="2"/>
  <c r="N750" i="2"/>
  <c r="N723" i="2"/>
  <c r="J36" i="17"/>
  <c r="J38" i="17" s="1"/>
  <c r="G36" i="17"/>
  <c r="G38" i="17" s="1"/>
  <c r="F36" i="17"/>
  <c r="F38" i="17" s="1"/>
  <c r="I36" i="17"/>
  <c r="I38" i="17" s="1"/>
  <c r="E36" i="17"/>
  <c r="H36" i="17"/>
  <c r="H38" i="17" s="1"/>
  <c r="C20" i="23"/>
  <c r="L1245" i="2"/>
  <c r="L1271" i="2" s="1"/>
  <c r="L1323" i="2" s="1"/>
  <c r="L1246" i="2"/>
  <c r="L1272" i="2" s="1"/>
  <c r="L1308" i="2" s="1"/>
  <c r="E38" i="25"/>
  <c r="K38" i="25" s="1"/>
  <c r="L38" i="25" s="1"/>
  <c r="K36" i="25"/>
  <c r="L36" i="25" s="1"/>
  <c r="J1247" i="2"/>
  <c r="J1273" i="2" s="1"/>
  <c r="J1328" i="2" s="1"/>
  <c r="I1008" i="2"/>
  <c r="I982" i="2"/>
  <c r="D29" i="23"/>
  <c r="E29" i="23" s="1"/>
  <c r="G29" i="23" s="1"/>
  <c r="H854" i="2"/>
  <c r="H713" i="2"/>
  <c r="G36" i="15"/>
  <c r="G38" i="15" s="1"/>
  <c r="J36" i="15"/>
  <c r="J38" i="15" s="1"/>
  <c r="F36" i="15"/>
  <c r="F38" i="15" s="1"/>
  <c r="E36" i="15"/>
  <c r="H36" i="15"/>
  <c r="H38" i="15" s="1"/>
  <c r="I36" i="15"/>
  <c r="I38" i="15" s="1"/>
  <c r="K862" i="2"/>
  <c r="K919" i="2"/>
  <c r="M1008" i="2"/>
  <c r="M982" i="2"/>
  <c r="K723" i="2"/>
  <c r="K750" i="2"/>
  <c r="L963" i="2"/>
  <c r="L994" i="2" s="1"/>
  <c r="D38" i="20"/>
  <c r="L1035" i="2"/>
  <c r="L1082" i="2" s="1"/>
  <c r="L927" i="2"/>
  <c r="L903" i="2"/>
  <c r="L909" i="2" s="1"/>
  <c r="I848" i="2"/>
  <c r="D36" i="16"/>
  <c r="O1237" i="2"/>
  <c r="O1241" i="2" s="1"/>
  <c r="O1267" i="2" s="1"/>
  <c r="O1298" i="2" s="1"/>
  <c r="O1243" i="2"/>
  <c r="O1269" i="2" s="1"/>
  <c r="O1313" i="2" s="1"/>
  <c r="K984" i="2"/>
  <c r="K973" i="2"/>
  <c r="T971" i="2"/>
  <c r="U971" i="2" s="1"/>
  <c r="U860" i="2"/>
  <c r="V860" i="2" s="1"/>
  <c r="K1242" i="2"/>
  <c r="K1268" i="2" s="1"/>
  <c r="K1303" i="2" s="1"/>
  <c r="D31" i="23"/>
  <c r="E31" i="23" s="1"/>
  <c r="G31" i="23" s="1"/>
  <c r="J713" i="2"/>
  <c r="J854" i="2"/>
  <c r="J1246" i="2"/>
  <c r="J1272" i="2" s="1"/>
  <c r="J1308" i="2" s="1"/>
  <c r="Q1039" i="2"/>
  <c r="Q1041" i="2" s="1"/>
  <c r="Q1045" i="2" s="1"/>
  <c r="Q1080" i="2"/>
  <c r="Q1086" i="2" s="1"/>
  <c r="D60" i="23" s="1"/>
  <c r="D38" i="26"/>
  <c r="O903" i="2"/>
  <c r="O909" i="2" s="1"/>
  <c r="O927" i="2"/>
  <c r="O1035" i="2"/>
  <c r="O1082" i="2" s="1"/>
  <c r="O963" i="2"/>
  <c r="O994" i="2" s="1"/>
  <c r="N967" i="2"/>
  <c r="N969" i="2" s="1"/>
  <c r="M1230" i="2"/>
  <c r="M1231" i="2"/>
  <c r="M1232" i="2"/>
  <c r="M1235" i="2"/>
  <c r="M1234" i="2"/>
  <c r="M1236" i="2"/>
  <c r="M1228" i="2"/>
  <c r="M1229" i="2"/>
  <c r="M1233" i="2"/>
  <c r="M992" i="2"/>
  <c r="M852" i="2"/>
  <c r="K1243" i="2"/>
  <c r="K1269" i="2" s="1"/>
  <c r="K1313" i="2" s="1"/>
  <c r="Q1237" i="2"/>
  <c r="Q1246" i="2" s="1"/>
  <c r="Q1272" i="2" s="1"/>
  <c r="Q1308" i="2" s="1"/>
  <c r="P1244" i="2"/>
  <c r="P1270" i="2" s="1"/>
  <c r="P1318" i="2" s="1"/>
  <c r="N862" i="2"/>
  <c r="N919" i="2"/>
  <c r="C52" i="23"/>
  <c r="J1035" i="2"/>
  <c r="J1082" i="2" s="1"/>
  <c r="J927" i="2"/>
  <c r="J963" i="2"/>
  <c r="J994" i="2" s="1"/>
  <c r="D38" i="17"/>
  <c r="J903" i="2"/>
  <c r="J909" i="2" s="1"/>
  <c r="G708" i="2"/>
  <c r="T702" i="2"/>
  <c r="U702" i="2" s="1"/>
  <c r="V702" i="2" s="1"/>
  <c r="L1242" i="2"/>
  <c r="L1268" i="2" s="1"/>
  <c r="L1303" i="2" s="1"/>
  <c r="L1241" i="2"/>
  <c r="L1267" i="2" s="1"/>
  <c r="L1298" i="2" s="1"/>
  <c r="L1244" i="2"/>
  <c r="L1270" i="2" s="1"/>
  <c r="L1318" i="2" s="1"/>
  <c r="K15" i="14"/>
  <c r="E16" i="14"/>
  <c r="P1242" i="2"/>
  <c r="P1268" i="2" s="1"/>
  <c r="P1303" i="2" s="1"/>
  <c r="N1245" i="2"/>
  <c r="N1271" i="2" s="1"/>
  <c r="N1323" i="2" s="1"/>
  <c r="P1088" i="2"/>
  <c r="P1092" i="2" s="1"/>
  <c r="O1080" i="2"/>
  <c r="O1086" i="2" s="1"/>
  <c r="O1088" i="2" s="1"/>
  <c r="C40" i="20"/>
  <c r="C47" i="20"/>
  <c r="Q987" i="2"/>
  <c r="C50" i="23"/>
  <c r="I1234" i="2"/>
  <c r="I1233" i="2"/>
  <c r="I1230" i="2"/>
  <c r="I1235" i="2"/>
  <c r="I1236" i="2"/>
  <c r="I1229" i="2"/>
  <c r="I1232" i="2"/>
  <c r="I1228" i="2"/>
  <c r="I1231" i="2"/>
  <c r="I992" i="2"/>
  <c r="I852" i="2"/>
  <c r="N1339" i="2"/>
  <c r="N1269" i="2"/>
  <c r="N1313" i="2" s="1"/>
  <c r="O1245" i="2"/>
  <c r="O1271" i="2" s="1"/>
  <c r="O1323" i="2" s="1"/>
  <c r="G1090" i="2"/>
  <c r="T1043" i="2"/>
  <c r="U1043" i="2" s="1"/>
  <c r="N1088" i="2"/>
  <c r="N1092" i="2" s="1"/>
  <c r="D18" i="25" s="1"/>
  <c r="K1240" i="2"/>
  <c r="J1243" i="2"/>
  <c r="J1269" i="2" s="1"/>
  <c r="J1313" i="2" s="1"/>
  <c r="J1248" i="2"/>
  <c r="J1274" i="2" s="1"/>
  <c r="J1333" i="2" s="1"/>
  <c r="I1028" i="2"/>
  <c r="I1069" i="2"/>
  <c r="I1075" i="2" s="1"/>
  <c r="G36" i="26"/>
  <c r="G38" i="26" s="1"/>
  <c r="E36" i="26"/>
  <c r="F36" i="26"/>
  <c r="F38" i="26" s="1"/>
  <c r="H36" i="26"/>
  <c r="H38" i="26" s="1"/>
  <c r="I36" i="26"/>
  <c r="I38" i="26" s="1"/>
  <c r="J36" i="26"/>
  <c r="J38" i="26" s="1"/>
  <c r="C60" i="23"/>
  <c r="E60" i="23" s="1"/>
  <c r="G60" i="23" s="1"/>
  <c r="D36" i="21"/>
  <c r="M848" i="2"/>
  <c r="Q1244" i="2"/>
  <c r="Q1270" i="2" s="1"/>
  <c r="Q1318" i="2" s="1"/>
  <c r="C40" i="17"/>
  <c r="C47" i="17"/>
  <c r="G809" i="2"/>
  <c r="T791" i="2"/>
  <c r="U791" i="2" s="1"/>
  <c r="V791" i="2" s="1"/>
  <c r="L1243" i="2"/>
  <c r="L1269" i="2" s="1"/>
  <c r="L1313" i="2" s="1"/>
  <c r="P723" i="2"/>
  <c r="P750" i="2"/>
  <c r="E59" i="23"/>
  <c r="G59" i="23" s="1"/>
  <c r="C54" i="23"/>
  <c r="L38" i="19"/>
  <c r="R1075" i="2"/>
  <c r="D40" i="23"/>
  <c r="R854" i="2"/>
  <c r="R713" i="2"/>
  <c r="R1237" i="2"/>
  <c r="R1244" i="2" s="1"/>
  <c r="D57" i="23"/>
  <c r="R1035" i="2"/>
  <c r="R927" i="2"/>
  <c r="R963" i="2"/>
  <c r="R903" i="2"/>
  <c r="R1008" i="2"/>
  <c r="R982" i="2"/>
  <c r="D19" i="23"/>
  <c r="R961" i="2"/>
  <c r="R1033" i="2"/>
  <c r="R925" i="2"/>
  <c r="R684" i="2"/>
  <c r="N1052" i="2" l="1"/>
  <c r="H1241" i="2"/>
  <c r="H1267" i="2" s="1"/>
  <c r="H1298" i="2" s="1"/>
  <c r="H1088" i="2"/>
  <c r="H1092" i="2" s="1"/>
  <c r="D18" i="15" s="1"/>
  <c r="H1245" i="2"/>
  <c r="H1271" i="2" s="1"/>
  <c r="H1323" i="2" s="1"/>
  <c r="H1246" i="2"/>
  <c r="H1272" i="2" s="1"/>
  <c r="H1308" i="2" s="1"/>
  <c r="Q1088" i="2"/>
  <c r="Q1092" i="2" s="1"/>
  <c r="O1248" i="2"/>
  <c r="O1274" i="2" s="1"/>
  <c r="O1333" i="2" s="1"/>
  <c r="E50" i="23"/>
  <c r="G50" i="23" s="1"/>
  <c r="O1039" i="2"/>
  <c r="O1041" i="2" s="1"/>
  <c r="O1045" i="2" s="1"/>
  <c r="H1243" i="2"/>
  <c r="H1269" i="2" s="1"/>
  <c r="H1313" i="2" s="1"/>
  <c r="R1246" i="2"/>
  <c r="R1247" i="2"/>
  <c r="R1273" i="2" s="1"/>
  <c r="R1328" i="2" s="1"/>
  <c r="L967" i="2"/>
  <c r="L969" i="2" s="1"/>
  <c r="R1245" i="2"/>
  <c r="R1242" i="2"/>
  <c r="N1054" i="2"/>
  <c r="P984" i="2"/>
  <c r="P973" i="2"/>
  <c r="O1240" i="2"/>
  <c r="K1054" i="2"/>
  <c r="Q1247" i="2"/>
  <c r="Q1273" i="2" s="1"/>
  <c r="Q1328" i="2" s="1"/>
  <c r="O1247" i="2"/>
  <c r="O1273" i="2" s="1"/>
  <c r="O1328" i="2" s="1"/>
  <c r="P767" i="2"/>
  <c r="P729" i="2"/>
  <c r="P727" i="2"/>
  <c r="M1035" i="2"/>
  <c r="M1082" i="2" s="1"/>
  <c r="M963" i="2"/>
  <c r="M994" i="2" s="1"/>
  <c r="M927" i="2"/>
  <c r="M903" i="2"/>
  <c r="M909" i="2" s="1"/>
  <c r="D38" i="21"/>
  <c r="C51" i="23"/>
  <c r="G678" i="2"/>
  <c r="G845" i="2"/>
  <c r="G847" i="2"/>
  <c r="T847" i="2" s="1"/>
  <c r="U847" i="2" s="1"/>
  <c r="G820" i="2"/>
  <c r="G846" i="2"/>
  <c r="T846" i="2" s="1"/>
  <c r="U846" i="2" s="1"/>
  <c r="T708" i="2"/>
  <c r="U708" i="2" s="1"/>
  <c r="V708" i="2" s="1"/>
  <c r="Q1243" i="2"/>
  <c r="Q1269" i="2" s="1"/>
  <c r="Q1313" i="2" s="1"/>
  <c r="J862" i="2"/>
  <c r="J919" i="2"/>
  <c r="F36" i="16"/>
  <c r="F38" i="16" s="1"/>
  <c r="E36" i="16"/>
  <c r="J36" i="16"/>
  <c r="J38" i="16" s="1"/>
  <c r="I36" i="16"/>
  <c r="I38" i="16" s="1"/>
  <c r="H36" i="16"/>
  <c r="H38" i="16" s="1"/>
  <c r="G36" i="16"/>
  <c r="G38" i="16" s="1"/>
  <c r="K727" i="2"/>
  <c r="K767" i="2"/>
  <c r="K729" i="2"/>
  <c r="J967" i="2"/>
  <c r="J969" i="2" s="1"/>
  <c r="H862" i="2"/>
  <c r="H919" i="2"/>
  <c r="N727" i="2"/>
  <c r="N767" i="2"/>
  <c r="N729" i="2"/>
  <c r="Q1245" i="2"/>
  <c r="Q1271" i="2" s="1"/>
  <c r="Q1323" i="2" s="1"/>
  <c r="M1080" i="2"/>
  <c r="M1039" i="2"/>
  <c r="M1041" i="2" s="1"/>
  <c r="M1045" i="2" s="1"/>
  <c r="E18" i="19"/>
  <c r="Q1010" i="2"/>
  <c r="Q1012" i="2" s="1"/>
  <c r="Q996" i="2"/>
  <c r="Q998" i="2" s="1"/>
  <c r="Q1000" i="2" s="1"/>
  <c r="Q1004" i="2" s="1"/>
  <c r="Q1014" i="2"/>
  <c r="N1350" i="2"/>
  <c r="O750" i="2"/>
  <c r="O723" i="2"/>
  <c r="N1341" i="2"/>
  <c r="N1345" i="2" s="1"/>
  <c r="N1348" i="2"/>
  <c r="N1351" i="2" s="1"/>
  <c r="L1240" i="2"/>
  <c r="L862" i="2"/>
  <c r="L919" i="2"/>
  <c r="Q1242" i="2"/>
  <c r="Q1268" i="2" s="1"/>
  <c r="Q1303" i="2" s="1"/>
  <c r="J1240" i="2"/>
  <c r="O1246" i="2"/>
  <c r="O1272" i="2" s="1"/>
  <c r="O1308" i="2" s="1"/>
  <c r="C40" i="21"/>
  <c r="C47" i="21"/>
  <c r="G36" i="21"/>
  <c r="G38" i="21" s="1"/>
  <c r="J36" i="21"/>
  <c r="J38" i="21" s="1"/>
  <c r="I36" i="21"/>
  <c r="I38" i="21" s="1"/>
  <c r="H36" i="21"/>
  <c r="H38" i="21" s="1"/>
  <c r="F36" i="21"/>
  <c r="F38" i="21" s="1"/>
  <c r="E36" i="21"/>
  <c r="D20" i="25"/>
  <c r="D24" i="25" s="1"/>
  <c r="D40" i="25" s="1"/>
  <c r="D47" i="25" s="1"/>
  <c r="E18" i="25"/>
  <c r="N1349" i="2"/>
  <c r="N1344" i="2"/>
  <c r="I1237" i="2"/>
  <c r="I1247" i="2" s="1"/>
  <c r="I1273" i="2" s="1"/>
  <c r="I1328" i="2" s="1"/>
  <c r="J723" i="2"/>
  <c r="J750" i="2"/>
  <c r="O1266" i="2"/>
  <c r="O1293" i="2" s="1"/>
  <c r="D38" i="16"/>
  <c r="I927" i="2"/>
  <c r="I963" i="2"/>
  <c r="I994" i="2" s="1"/>
  <c r="I1035" i="2"/>
  <c r="I1082" i="2" s="1"/>
  <c r="I903" i="2"/>
  <c r="I909" i="2" s="1"/>
  <c r="K941" i="2"/>
  <c r="K943" i="2" s="1"/>
  <c r="K929" i="2"/>
  <c r="K931" i="2" s="1"/>
  <c r="K921" i="2"/>
  <c r="K36" i="15"/>
  <c r="L36" i="15" s="1"/>
  <c r="E38" i="15"/>
  <c r="K38" i="15" s="1"/>
  <c r="L38" i="15" s="1"/>
  <c r="Q750" i="2"/>
  <c r="Q723" i="2"/>
  <c r="H1247" i="2"/>
  <c r="H1273" i="2" s="1"/>
  <c r="H1328" i="2" s="1"/>
  <c r="Q1324" i="2"/>
  <c r="Q1329" i="2"/>
  <c r="Q1330" i="2" s="1"/>
  <c r="Q1299" i="2"/>
  <c r="Q1294" i="2"/>
  <c r="Q1319" i="2"/>
  <c r="Q1320" i="2" s="1"/>
  <c r="Q1309" i="2"/>
  <c r="Q1310" i="2" s="1"/>
  <c r="Q1304" i="2"/>
  <c r="Q1334" i="2"/>
  <c r="Q1314" i="2"/>
  <c r="O1244" i="2"/>
  <c r="O1270" i="2" s="1"/>
  <c r="O1318" i="2" s="1"/>
  <c r="Q1248" i="2"/>
  <c r="Q1274" i="2" s="1"/>
  <c r="Q1333" i="2" s="1"/>
  <c r="J1086" i="2"/>
  <c r="C40" i="16"/>
  <c r="C47" i="16"/>
  <c r="R1241" i="2"/>
  <c r="R1243" i="2"/>
  <c r="R1269" i="2" s="1"/>
  <c r="R1313" i="2" s="1"/>
  <c r="E38" i="26"/>
  <c r="K38" i="26" s="1"/>
  <c r="L38" i="26" s="1"/>
  <c r="K36" i="26"/>
  <c r="L36" i="26" s="1"/>
  <c r="L973" i="2"/>
  <c r="L984" i="2"/>
  <c r="F49" i="23"/>
  <c r="F62" i="23" s="1"/>
  <c r="T1090" i="2"/>
  <c r="U1090" i="2" s="1"/>
  <c r="V1090" i="2" s="1"/>
  <c r="D30" i="23"/>
  <c r="E30" i="23" s="1"/>
  <c r="G30" i="23" s="1"/>
  <c r="I854" i="2"/>
  <c r="I713" i="2"/>
  <c r="Q1240" i="2"/>
  <c r="D34" i="23"/>
  <c r="E34" i="23" s="1"/>
  <c r="G34" i="23" s="1"/>
  <c r="M854" i="2"/>
  <c r="M713" i="2"/>
  <c r="M1237" i="2"/>
  <c r="M1247" i="2" s="1"/>
  <c r="M1273" i="2" s="1"/>
  <c r="M1328" i="2" s="1"/>
  <c r="N973" i="2"/>
  <c r="N984" i="2"/>
  <c r="Q1053" i="2"/>
  <c r="Q1052" i="2"/>
  <c r="Q1054" i="2" s="1"/>
  <c r="K1304" i="2"/>
  <c r="K1305" i="2" s="1"/>
  <c r="K1319" i="2"/>
  <c r="K1320" i="2" s="1"/>
  <c r="K1299" i="2"/>
  <c r="K1300" i="2" s="1"/>
  <c r="K1324" i="2"/>
  <c r="K1325" i="2" s="1"/>
  <c r="K1309" i="2"/>
  <c r="K1310" i="2" s="1"/>
  <c r="K1329" i="2"/>
  <c r="K1330" i="2" s="1"/>
  <c r="K1334" i="2"/>
  <c r="K1335" i="2" s="1"/>
  <c r="K1294" i="2"/>
  <c r="K1314" i="2"/>
  <c r="K1315" i="2" s="1"/>
  <c r="E38" i="17"/>
  <c r="K38" i="17" s="1"/>
  <c r="L38" i="17" s="1"/>
  <c r="K36" i="17"/>
  <c r="L36" i="17" s="1"/>
  <c r="D53" i="23"/>
  <c r="E53" i="23" s="1"/>
  <c r="G53" i="23" s="1"/>
  <c r="K1088" i="2"/>
  <c r="K1092" i="2" s="1"/>
  <c r="D18" i="19" s="1"/>
  <c r="D20" i="19" s="1"/>
  <c r="D24" i="19" s="1"/>
  <c r="D40" i="19" s="1"/>
  <c r="D47" i="19" s="1"/>
  <c r="Q862" i="2"/>
  <c r="Q919" i="2"/>
  <c r="H1244" i="2"/>
  <c r="H1270" i="2" s="1"/>
  <c r="H1318" i="2" s="1"/>
  <c r="L1086" i="2"/>
  <c r="O1242" i="2"/>
  <c r="O1268" i="2" s="1"/>
  <c r="O1303" i="2" s="1"/>
  <c r="K36" i="20"/>
  <c r="L36" i="20" s="1"/>
  <c r="E38" i="20"/>
  <c r="K38" i="20" s="1"/>
  <c r="L38" i="20" s="1"/>
  <c r="O919" i="2"/>
  <c r="O862" i="2"/>
  <c r="I1080" i="2"/>
  <c r="O967" i="2"/>
  <c r="O969" i="2" s="1"/>
  <c r="L1248" i="2"/>
  <c r="L1274" i="2" s="1"/>
  <c r="L1333" i="2" s="1"/>
  <c r="P1054" i="2"/>
  <c r="J1039" i="2"/>
  <c r="J1041" i="2" s="1"/>
  <c r="J1045" i="2" s="1"/>
  <c r="H967" i="2"/>
  <c r="H969" i="2" s="1"/>
  <c r="G882" i="2"/>
  <c r="G951" i="2"/>
  <c r="G1022" i="2"/>
  <c r="G916" i="2"/>
  <c r="G901" i="2"/>
  <c r="C28" i="23"/>
  <c r="T809" i="2"/>
  <c r="U809" i="2" s="1"/>
  <c r="V809" i="2" s="1"/>
  <c r="K1266" i="2"/>
  <c r="K1293" i="2" s="1"/>
  <c r="K1250" i="2"/>
  <c r="I1241" i="2"/>
  <c r="I1267" i="2" s="1"/>
  <c r="I1298" i="2" s="1"/>
  <c r="L15" i="14"/>
  <c r="K16" i="14"/>
  <c r="L16" i="14" s="1"/>
  <c r="N929" i="2"/>
  <c r="N931" i="2" s="1"/>
  <c r="N941" i="2"/>
  <c r="N943" i="2" s="1"/>
  <c r="N921" i="2"/>
  <c r="K996" i="2"/>
  <c r="K998" i="2" s="1"/>
  <c r="K1010" i="2"/>
  <c r="K1012" i="2" s="1"/>
  <c r="K1014" i="2"/>
  <c r="K987" i="2"/>
  <c r="H750" i="2"/>
  <c r="H723" i="2"/>
  <c r="Q1241" i="2"/>
  <c r="Q1267" i="2" s="1"/>
  <c r="Q1298" i="2" s="1"/>
  <c r="H1240" i="2"/>
  <c r="L1039" i="2"/>
  <c r="L1041" i="2" s="1"/>
  <c r="L1045" i="2" s="1"/>
  <c r="H1053" i="2"/>
  <c r="H1052" i="2"/>
  <c r="N1250" i="2"/>
  <c r="P941" i="2"/>
  <c r="P943" i="2" s="1"/>
  <c r="P929" i="2"/>
  <c r="P931" i="2" s="1"/>
  <c r="P921" i="2"/>
  <c r="L723" i="2"/>
  <c r="L750" i="2"/>
  <c r="P1250" i="2"/>
  <c r="H1242" i="2"/>
  <c r="H1268" i="2" s="1"/>
  <c r="H1303" i="2" s="1"/>
  <c r="C55" i="23"/>
  <c r="R1039" i="2"/>
  <c r="R1080" i="2"/>
  <c r="R1272" i="2"/>
  <c r="R1308" i="2" s="1"/>
  <c r="R1082" i="2"/>
  <c r="R1267" i="2"/>
  <c r="R1298" i="2" s="1"/>
  <c r="R862" i="2"/>
  <c r="R919" i="2"/>
  <c r="R967" i="2"/>
  <c r="R909" i="2"/>
  <c r="R1268" i="2"/>
  <c r="R1303" i="2" s="1"/>
  <c r="O1092" i="2"/>
  <c r="D18" i="26" s="1"/>
  <c r="R1240" i="2"/>
  <c r="C61" i="23"/>
  <c r="E19" i="23"/>
  <c r="D16" i="23"/>
  <c r="R1271" i="2"/>
  <c r="R1323" i="2" s="1"/>
  <c r="R994" i="2"/>
  <c r="O1052" i="2"/>
  <c r="O1053" i="2"/>
  <c r="R1270" i="2"/>
  <c r="R1318" i="2" s="1"/>
  <c r="E40" i="23"/>
  <c r="D37" i="23"/>
  <c r="E57" i="23"/>
  <c r="R1248" i="2"/>
  <c r="R723" i="2"/>
  <c r="R750" i="2"/>
  <c r="P1324" i="2" l="1"/>
  <c r="P1325" i="2" s="1"/>
  <c r="P1304" i="2"/>
  <c r="P1305" i="2" s="1"/>
  <c r="P1319" i="2"/>
  <c r="P1320" i="2" s="1"/>
  <c r="P1299" i="2"/>
  <c r="P1300" i="2" s="1"/>
  <c r="P1329" i="2"/>
  <c r="P1330" i="2" s="1"/>
  <c r="P1294" i="2"/>
  <c r="P1295" i="2" s="1"/>
  <c r="P1314" i="2"/>
  <c r="P1315" i="2" s="1"/>
  <c r="P1309" i="2"/>
  <c r="P1310" i="2" s="1"/>
  <c r="P1334" i="2"/>
  <c r="P1335" i="2" s="1"/>
  <c r="H1054" i="2"/>
  <c r="M967" i="2"/>
  <c r="M969" i="2" s="1"/>
  <c r="M973" i="2" s="1"/>
  <c r="Q1305" i="2"/>
  <c r="P996" i="2"/>
  <c r="P998" i="2" s="1"/>
  <c r="P1010" i="2"/>
  <c r="P1012" i="2" s="1"/>
  <c r="P987" i="2"/>
  <c r="P1000" i="2" s="1"/>
  <c r="P1004" i="2" s="1"/>
  <c r="P1014" i="2"/>
  <c r="P934" i="2"/>
  <c r="P938" i="2" s="1"/>
  <c r="I967" i="2"/>
  <c r="I969" i="2" s="1"/>
  <c r="I1242" i="2"/>
  <c r="I1268" i="2" s="1"/>
  <c r="I1303" i="2" s="1"/>
  <c r="I1086" i="2"/>
  <c r="D51" i="23" s="1"/>
  <c r="E51" i="23" s="1"/>
  <c r="G51" i="23" s="1"/>
  <c r="Q1315" i="2"/>
  <c r="N1343" i="2"/>
  <c r="M1086" i="2"/>
  <c r="Q1300" i="2"/>
  <c r="K934" i="2"/>
  <c r="K938" i="2" s="1"/>
  <c r="I973" i="2"/>
  <c r="I984" i="2"/>
  <c r="K1000" i="2"/>
  <c r="K1004" i="2" s="1"/>
  <c r="M723" i="2"/>
  <c r="M750" i="2"/>
  <c r="L1319" i="2"/>
  <c r="L1320" i="2" s="1"/>
  <c r="L1324" i="2"/>
  <c r="L1325" i="2" s="1"/>
  <c r="L1294" i="2"/>
  <c r="L1314" i="2"/>
  <c r="L1315" i="2" s="1"/>
  <c r="L1304" i="2"/>
  <c r="L1305" i="2" s="1"/>
  <c r="L1309" i="2"/>
  <c r="L1310" i="2" s="1"/>
  <c r="L1299" i="2"/>
  <c r="L1300" i="2" s="1"/>
  <c r="L1334" i="2"/>
  <c r="L1335" i="2" s="1"/>
  <c r="L1329" i="2"/>
  <c r="L1330" i="2" s="1"/>
  <c r="E18" i="15"/>
  <c r="D20" i="15"/>
  <c r="D24" i="15" s="1"/>
  <c r="D40" i="15" s="1"/>
  <c r="D47" i="15" s="1"/>
  <c r="M1248" i="2"/>
  <c r="M1274" i="2" s="1"/>
  <c r="M1333" i="2" s="1"/>
  <c r="H973" i="2"/>
  <c r="H984" i="2"/>
  <c r="O921" i="2"/>
  <c r="O929" i="2"/>
  <c r="O931" i="2" s="1"/>
  <c r="O941" i="2"/>
  <c r="O943" i="2" s="1"/>
  <c r="M1244" i="2"/>
  <c r="M1270" i="2" s="1"/>
  <c r="M1318" i="2" s="1"/>
  <c r="M919" i="2"/>
  <c r="M862" i="2"/>
  <c r="I1244" i="2"/>
  <c r="I1270" i="2" s="1"/>
  <c r="I1318" i="2" s="1"/>
  <c r="Q1325" i="2"/>
  <c r="I1246" i="2"/>
  <c r="I1272" i="2" s="1"/>
  <c r="I1308" i="2" s="1"/>
  <c r="L727" i="2"/>
  <c r="L729" i="2"/>
  <c r="L767" i="2"/>
  <c r="H727" i="2"/>
  <c r="H729" i="2"/>
  <c r="H767" i="2"/>
  <c r="N934" i="2"/>
  <c r="N938" i="2" s="1"/>
  <c r="K1295" i="2"/>
  <c r="K1356" i="2" s="1"/>
  <c r="C41" i="23"/>
  <c r="G956" i="2"/>
  <c r="T951" i="2"/>
  <c r="J1052" i="2"/>
  <c r="J1053" i="2"/>
  <c r="I1039" i="2"/>
  <c r="I1041" i="2" s="1"/>
  <c r="I1045" i="2" s="1"/>
  <c r="M1240" i="2"/>
  <c r="I750" i="2"/>
  <c r="I723" i="2"/>
  <c r="D52" i="23"/>
  <c r="E52" i="23" s="1"/>
  <c r="G52" i="23" s="1"/>
  <c r="J1088" i="2"/>
  <c r="J1092" i="2" s="1"/>
  <c r="D18" i="17" s="1"/>
  <c r="Q1335" i="2"/>
  <c r="I1240" i="2"/>
  <c r="E20" i="25"/>
  <c r="F18" i="25"/>
  <c r="J1266" i="2"/>
  <c r="J1293" i="2" s="1"/>
  <c r="J1250" i="2"/>
  <c r="L1266" i="2"/>
  <c r="L1293" i="2" s="1"/>
  <c r="L1250" i="2"/>
  <c r="O727" i="2"/>
  <c r="O767" i="2"/>
  <c r="O729" i="2"/>
  <c r="M1053" i="2"/>
  <c r="M1052" i="2"/>
  <c r="J973" i="2"/>
  <c r="J984" i="2"/>
  <c r="E38" i="16"/>
  <c r="K38" i="16" s="1"/>
  <c r="L38" i="16" s="1"/>
  <c r="K36" i="16"/>
  <c r="L36" i="16" s="1"/>
  <c r="M1242" i="2"/>
  <c r="M1268" i="2" s="1"/>
  <c r="M1303" i="2" s="1"/>
  <c r="T845" i="2"/>
  <c r="U845" i="2" s="1"/>
  <c r="D36" i="14"/>
  <c r="G848" i="2"/>
  <c r="I1248" i="2"/>
  <c r="I1274" i="2" s="1"/>
  <c r="I1333" i="2" s="1"/>
  <c r="T901" i="2"/>
  <c r="U901" i="2" s="1"/>
  <c r="V901" i="2" s="1"/>
  <c r="Q1266" i="2"/>
  <c r="Q1293" i="2" s="1"/>
  <c r="Q1295" i="2" s="1"/>
  <c r="Q1250" i="2"/>
  <c r="I862" i="2"/>
  <c r="I919" i="2"/>
  <c r="L1010" i="2"/>
  <c r="L1012" i="2" s="1"/>
  <c r="L1014" i="2"/>
  <c r="L996" i="2"/>
  <c r="L998" i="2" s="1"/>
  <c r="L987" i="2"/>
  <c r="Q729" i="2"/>
  <c r="Q767" i="2"/>
  <c r="Q727" i="2"/>
  <c r="J727" i="2"/>
  <c r="J767" i="2"/>
  <c r="J729" i="2"/>
  <c r="N1346" i="2"/>
  <c r="N731" i="2"/>
  <c r="N758" i="2" s="1"/>
  <c r="N759" i="2" s="1"/>
  <c r="N761" i="2" s="1"/>
  <c r="N765" i="2" s="1"/>
  <c r="N773" i="2" s="1"/>
  <c r="N775" i="2" s="1"/>
  <c r="M1246" i="2"/>
  <c r="M1272" i="2" s="1"/>
  <c r="M1308" i="2" s="1"/>
  <c r="G682" i="2"/>
  <c r="T678" i="2"/>
  <c r="U678" i="2" s="1"/>
  <c r="V678" i="2" s="1"/>
  <c r="I1243" i="2"/>
  <c r="I1269" i="2" s="1"/>
  <c r="I1313" i="2" s="1"/>
  <c r="P731" i="2"/>
  <c r="P758" i="2" s="1"/>
  <c r="P759" i="2" s="1"/>
  <c r="P761" i="2" s="1"/>
  <c r="P765" i="2" s="1"/>
  <c r="P773" i="2" s="1"/>
  <c r="P775" i="2" s="1"/>
  <c r="Q929" i="2"/>
  <c r="Q931" i="2" s="1"/>
  <c r="Q941" i="2"/>
  <c r="Q943" i="2" s="1"/>
  <c r="Q921" i="2"/>
  <c r="N996" i="2"/>
  <c r="N998" i="2" s="1"/>
  <c r="N1014" i="2"/>
  <c r="N1010" i="2"/>
  <c r="N1012" i="2" s="1"/>
  <c r="N987" i="2"/>
  <c r="T916" i="2"/>
  <c r="U916" i="2" s="1"/>
  <c r="N1299" i="2"/>
  <c r="N1300" i="2" s="1"/>
  <c r="N1304" i="2"/>
  <c r="N1305" i="2" s="1"/>
  <c r="N1309" i="2"/>
  <c r="N1310" i="2" s="1"/>
  <c r="N1314" i="2"/>
  <c r="N1315" i="2" s="1"/>
  <c r="N1324" i="2"/>
  <c r="N1325" i="2" s="1"/>
  <c r="N1294" i="2"/>
  <c r="N1295" i="2" s="1"/>
  <c r="N1319" i="2"/>
  <c r="N1320" i="2" s="1"/>
  <c r="N1329" i="2"/>
  <c r="N1330" i="2" s="1"/>
  <c r="N1334" i="2"/>
  <c r="N1335" i="2" s="1"/>
  <c r="O1250" i="2"/>
  <c r="M1241" i="2"/>
  <c r="M1267" i="2" s="1"/>
  <c r="M1298" i="2" s="1"/>
  <c r="E38" i="21"/>
  <c r="K38" i="21" s="1"/>
  <c r="L38" i="21" s="1"/>
  <c r="K36" i="21"/>
  <c r="L36" i="21" s="1"/>
  <c r="L941" i="2"/>
  <c r="L943" i="2" s="1"/>
  <c r="L929" i="2"/>
  <c r="L931" i="2" s="1"/>
  <c r="L921" i="2"/>
  <c r="E20" i="19"/>
  <c r="F18" i="19"/>
  <c r="H941" i="2"/>
  <c r="H943" i="2" s="1"/>
  <c r="H929" i="2"/>
  <c r="H931" i="2" s="1"/>
  <c r="H921" i="2"/>
  <c r="J929" i="2"/>
  <c r="J931" i="2" s="1"/>
  <c r="J941" i="2"/>
  <c r="J943" i="2" s="1"/>
  <c r="J921" i="2"/>
  <c r="M1245" i="2"/>
  <c r="M1271" i="2" s="1"/>
  <c r="M1323" i="2" s="1"/>
  <c r="G1235" i="2"/>
  <c r="D26" i="14"/>
  <c r="G1233" i="2"/>
  <c r="T1233" i="2" s="1"/>
  <c r="U1233" i="2" s="1"/>
  <c r="V1233" i="2" s="1"/>
  <c r="G1236" i="2"/>
  <c r="G1232" i="2"/>
  <c r="G1230" i="2"/>
  <c r="G1229" i="2"/>
  <c r="G1234" i="2"/>
  <c r="G1231" i="2"/>
  <c r="G1228" i="2"/>
  <c r="G852" i="2"/>
  <c r="G992" i="2"/>
  <c r="T820" i="2"/>
  <c r="U820" i="2" s="1"/>
  <c r="V820" i="2" s="1"/>
  <c r="I1088" i="2"/>
  <c r="I1092" i="2" s="1"/>
  <c r="D18" i="16" s="1"/>
  <c r="L1052" i="2"/>
  <c r="L1053" i="2"/>
  <c r="H1266" i="2"/>
  <c r="H1293" i="2" s="1"/>
  <c r="H1250" i="2"/>
  <c r="M1243" i="2"/>
  <c r="M1269" i="2" s="1"/>
  <c r="M1313" i="2" s="1"/>
  <c r="G1028" i="2"/>
  <c r="G1069" i="2"/>
  <c r="T1022" i="2"/>
  <c r="O973" i="2"/>
  <c r="O984" i="2"/>
  <c r="D54" i="23"/>
  <c r="E54" i="23" s="1"/>
  <c r="G54" i="23" s="1"/>
  <c r="L1088" i="2"/>
  <c r="L1092" i="2" s="1"/>
  <c r="D18" i="20" s="1"/>
  <c r="K731" i="2"/>
  <c r="K758" i="2" s="1"/>
  <c r="K759" i="2" s="1"/>
  <c r="K761" i="2" s="1"/>
  <c r="K765" i="2" s="1"/>
  <c r="K773" i="2" s="1"/>
  <c r="K775" i="2" s="1"/>
  <c r="I1245" i="2"/>
  <c r="I1271" i="2" s="1"/>
  <c r="I1323" i="2" s="1"/>
  <c r="O1054" i="2"/>
  <c r="R941" i="2"/>
  <c r="R929" i="2"/>
  <c r="R921" i="2"/>
  <c r="R1274" i="2"/>
  <c r="R1333" i="2" s="1"/>
  <c r="R969" i="2"/>
  <c r="R1086" i="2"/>
  <c r="R1266" i="2"/>
  <c r="R1293" i="2" s="1"/>
  <c r="R1250" i="2"/>
  <c r="R1041" i="2"/>
  <c r="G57" i="23"/>
  <c r="E18" i="26"/>
  <c r="D20" i="26"/>
  <c r="D24" i="26" s="1"/>
  <c r="D40" i="26" s="1"/>
  <c r="D47" i="26" s="1"/>
  <c r="R729" i="2"/>
  <c r="R727" i="2"/>
  <c r="R767" i="2"/>
  <c r="G40" i="23"/>
  <c r="E37" i="23"/>
  <c r="G19" i="23"/>
  <c r="E16" i="23"/>
  <c r="C58" i="23"/>
  <c r="M984" i="2" l="1"/>
  <c r="P1338" i="2"/>
  <c r="P1356" i="2"/>
  <c r="D55" i="23"/>
  <c r="E55" i="23" s="1"/>
  <c r="G55" i="23" s="1"/>
  <c r="M1088" i="2"/>
  <c r="M1092" i="2" s="1"/>
  <c r="D18" i="21" s="1"/>
  <c r="D20" i="21" s="1"/>
  <c r="D24" i="21" s="1"/>
  <c r="D40" i="21" s="1"/>
  <c r="D47" i="21" s="1"/>
  <c r="H934" i="2"/>
  <c r="H938" i="2" s="1"/>
  <c r="M1054" i="2"/>
  <c r="O731" i="2"/>
  <c r="O758" i="2" s="1"/>
  <c r="O759" i="2" s="1"/>
  <c r="O761" i="2" s="1"/>
  <c r="O765" i="2" s="1"/>
  <c r="G1237" i="2"/>
  <c r="G1245" i="2" s="1"/>
  <c r="T1228" i="2"/>
  <c r="T1232" i="2"/>
  <c r="U1232" i="2" s="1"/>
  <c r="V1232" i="2" s="1"/>
  <c r="U1022" i="2"/>
  <c r="T1028" i="2"/>
  <c r="U1028" i="2" s="1"/>
  <c r="M1324" i="2"/>
  <c r="M1325" i="2" s="1"/>
  <c r="M1294" i="2"/>
  <c r="M1309" i="2"/>
  <c r="M1310" i="2" s="1"/>
  <c r="M1329" i="2"/>
  <c r="M1330" i="2" s="1"/>
  <c r="M1304" i="2"/>
  <c r="M1305" i="2" s="1"/>
  <c r="M1334" i="2"/>
  <c r="M1335" i="2" s="1"/>
  <c r="M1319" i="2"/>
  <c r="M1320" i="2" s="1"/>
  <c r="M1314" i="2"/>
  <c r="M1315" i="2" s="1"/>
  <c r="M1299" i="2"/>
  <c r="M1300" i="2" s="1"/>
  <c r="L1054" i="2"/>
  <c r="T992" i="2"/>
  <c r="U992" i="2" s="1"/>
  <c r="V992" i="2" s="1"/>
  <c r="T1234" i="2"/>
  <c r="U1234" i="2" s="1"/>
  <c r="V1234" i="2" s="1"/>
  <c r="T1236" i="2"/>
  <c r="U1236" i="2" s="1"/>
  <c r="V1236" i="2" s="1"/>
  <c r="E24" i="19"/>
  <c r="N1000" i="2"/>
  <c r="N1004" i="2" s="1"/>
  <c r="Q934" i="2"/>
  <c r="Q938" i="2" s="1"/>
  <c r="J731" i="2"/>
  <c r="J758" i="2" s="1"/>
  <c r="J759" i="2" s="1"/>
  <c r="J761" i="2" s="1"/>
  <c r="J765" i="2" s="1"/>
  <c r="J773" i="2" s="1"/>
  <c r="J775" i="2" s="1"/>
  <c r="I941" i="2"/>
  <c r="I943" i="2" s="1"/>
  <c r="I929" i="2"/>
  <c r="I931" i="2" s="1"/>
  <c r="I921" i="2"/>
  <c r="F36" i="14"/>
  <c r="F38" i="14" s="1"/>
  <c r="G36" i="14"/>
  <c r="G38" i="14" s="1"/>
  <c r="J36" i="14"/>
  <c r="J38" i="14" s="1"/>
  <c r="I36" i="14"/>
  <c r="I38" i="14" s="1"/>
  <c r="H36" i="14"/>
  <c r="H38" i="14" s="1"/>
  <c r="E36" i="14"/>
  <c r="O773" i="2"/>
  <c r="O775" i="2" s="1"/>
  <c r="G1075" i="2"/>
  <c r="T1069" i="2"/>
  <c r="D28" i="23"/>
  <c r="T852" i="2"/>
  <c r="G713" i="2"/>
  <c r="G854" i="2"/>
  <c r="T1229" i="2"/>
  <c r="U1229" i="2" s="1"/>
  <c r="V1229" i="2" s="1"/>
  <c r="J934" i="2"/>
  <c r="J938" i="2" s="1"/>
  <c r="L934" i="2"/>
  <c r="L938" i="2" s="1"/>
  <c r="Q731" i="2"/>
  <c r="Q758" i="2" s="1"/>
  <c r="Q759" i="2" s="1"/>
  <c r="Q761" i="2" s="1"/>
  <c r="Q765" i="2" s="1"/>
  <c r="Q773" i="2" s="1"/>
  <c r="Q775" i="2" s="1"/>
  <c r="L1000" i="2"/>
  <c r="L1004" i="2" s="1"/>
  <c r="J1010" i="2"/>
  <c r="J1012" i="2" s="1"/>
  <c r="J996" i="2"/>
  <c r="J998" i="2" s="1"/>
  <c r="J1014" i="2"/>
  <c r="J987" i="2"/>
  <c r="F20" i="25"/>
  <c r="F24" i="25" s="1"/>
  <c r="G18" i="25"/>
  <c r="M1250" i="2"/>
  <c r="M1266" i="2"/>
  <c r="M1293" i="2" s="1"/>
  <c r="J1054" i="2"/>
  <c r="L731" i="2"/>
  <c r="L758" i="2" s="1"/>
  <c r="L759" i="2" s="1"/>
  <c r="L761" i="2" s="1"/>
  <c r="L765" i="2" s="1"/>
  <c r="L773" i="2" s="1"/>
  <c r="L775" i="2" s="1"/>
  <c r="H1319" i="2"/>
  <c r="H1320" i="2" s="1"/>
  <c r="H1324" i="2"/>
  <c r="H1325" i="2" s="1"/>
  <c r="H1299" i="2"/>
  <c r="H1300" i="2" s="1"/>
  <c r="H1309" i="2"/>
  <c r="H1310" i="2" s="1"/>
  <c r="H1329" i="2"/>
  <c r="H1330" i="2" s="1"/>
  <c r="H1304" i="2"/>
  <c r="H1305" i="2" s="1"/>
  <c r="H1334" i="2"/>
  <c r="H1335" i="2" s="1"/>
  <c r="H1294" i="2"/>
  <c r="H1295" i="2" s="1"/>
  <c r="H1314" i="2"/>
  <c r="H1315" i="2" s="1"/>
  <c r="T1230" i="2"/>
  <c r="U1230" i="2" s="1"/>
  <c r="V1230" i="2" s="1"/>
  <c r="D7" i="23"/>
  <c r="G961" i="2"/>
  <c r="G925" i="2"/>
  <c r="G1033" i="2"/>
  <c r="G684" i="2"/>
  <c r="T684" i="2" s="1"/>
  <c r="U684" i="2" s="1"/>
  <c r="V684" i="2" s="1"/>
  <c r="T682" i="2"/>
  <c r="U682" i="2" s="1"/>
  <c r="V682" i="2" s="1"/>
  <c r="J1299" i="2"/>
  <c r="J1300" i="2" s="1"/>
  <c r="J1329" i="2"/>
  <c r="J1330" i="2" s="1"/>
  <c r="J1304" i="2"/>
  <c r="J1305" i="2" s="1"/>
  <c r="J1309" i="2"/>
  <c r="J1310" i="2" s="1"/>
  <c r="J1324" i="2"/>
  <c r="J1325" i="2" s="1"/>
  <c r="J1319" i="2"/>
  <c r="J1320" i="2" s="1"/>
  <c r="J1334" i="2"/>
  <c r="J1335" i="2" s="1"/>
  <c r="J1314" i="2"/>
  <c r="J1315" i="2" s="1"/>
  <c r="J1294" i="2"/>
  <c r="J1295" i="2" s="1"/>
  <c r="E24" i="25"/>
  <c r="I1053" i="2"/>
  <c r="I1052" i="2"/>
  <c r="U951" i="2"/>
  <c r="V951" i="2" s="1"/>
  <c r="T956" i="2"/>
  <c r="U956" i="2" s="1"/>
  <c r="V956" i="2" s="1"/>
  <c r="H731" i="2"/>
  <c r="H758" i="2" s="1"/>
  <c r="H759" i="2" s="1"/>
  <c r="H761" i="2" s="1"/>
  <c r="H765" i="2" s="1"/>
  <c r="H773" i="2" s="1"/>
  <c r="H775" i="2" s="1"/>
  <c r="O1010" i="2"/>
  <c r="O1012" i="2" s="1"/>
  <c r="O987" i="2"/>
  <c r="O996" i="2"/>
  <c r="O998" i="2" s="1"/>
  <c r="O1014" i="2"/>
  <c r="O1309" i="2"/>
  <c r="O1310" i="2" s="1"/>
  <c r="O1319" i="2"/>
  <c r="O1320" i="2" s="1"/>
  <c r="O1329" i="2"/>
  <c r="O1330" i="2" s="1"/>
  <c r="O1314" i="2"/>
  <c r="O1315" i="2" s="1"/>
  <c r="O1334" i="2"/>
  <c r="O1335" i="2" s="1"/>
  <c r="O1299" i="2"/>
  <c r="O1300" i="2" s="1"/>
  <c r="O1324" i="2"/>
  <c r="O1325" i="2" s="1"/>
  <c r="O1294" i="2"/>
  <c r="O1295" i="2" s="1"/>
  <c r="O1304" i="2"/>
  <c r="O1305" i="2" s="1"/>
  <c r="T1235" i="2"/>
  <c r="U1235" i="2" s="1"/>
  <c r="V1235" i="2" s="1"/>
  <c r="F20" i="19"/>
  <c r="F24" i="19" s="1"/>
  <c r="G18" i="19"/>
  <c r="N1356" i="2"/>
  <c r="I1266" i="2"/>
  <c r="I1293" i="2" s="1"/>
  <c r="I1250" i="2"/>
  <c r="I727" i="2"/>
  <c r="I767" i="2"/>
  <c r="I729" i="2"/>
  <c r="E18" i="17"/>
  <c r="D20" i="17"/>
  <c r="D24" i="17" s="1"/>
  <c r="D40" i="17" s="1"/>
  <c r="D47" i="17" s="1"/>
  <c r="G1008" i="2"/>
  <c r="T1008" i="2" s="1"/>
  <c r="U1008" i="2" s="1"/>
  <c r="V1008" i="2" s="1"/>
  <c r="G982" i="2"/>
  <c r="M941" i="2"/>
  <c r="M943" i="2" s="1"/>
  <c r="M929" i="2"/>
  <c r="M931" i="2" s="1"/>
  <c r="M921" i="2"/>
  <c r="O934" i="2"/>
  <c r="O938" i="2" s="1"/>
  <c r="I1010" i="2"/>
  <c r="I1012" i="2" s="1"/>
  <c r="I1014" i="2"/>
  <c r="I996" i="2"/>
  <c r="I998" i="2" s="1"/>
  <c r="I987" i="2"/>
  <c r="M1010" i="2"/>
  <c r="M1012" i="2" s="1"/>
  <c r="M996" i="2"/>
  <c r="M998" i="2" s="1"/>
  <c r="M1014" i="2"/>
  <c r="M987" i="2"/>
  <c r="D20" i="20"/>
  <c r="D24" i="20" s="1"/>
  <c r="D40" i="20" s="1"/>
  <c r="D47" i="20" s="1"/>
  <c r="E18" i="20"/>
  <c r="T1231" i="2"/>
  <c r="U1231" i="2" s="1"/>
  <c r="V1231" i="2" s="1"/>
  <c r="Q1338" i="2"/>
  <c r="Q1356" i="2"/>
  <c r="G1035" i="2"/>
  <c r="G927" i="2"/>
  <c r="T927" i="2" s="1"/>
  <c r="U927" i="2" s="1"/>
  <c r="D38" i="14"/>
  <c r="G963" i="2"/>
  <c r="G903" i="2"/>
  <c r="T848" i="2"/>
  <c r="U848" i="2" s="1"/>
  <c r="V848" i="2" s="1"/>
  <c r="H1010" i="2"/>
  <c r="H1012" i="2" s="1"/>
  <c r="H1014" i="2"/>
  <c r="H996" i="2"/>
  <c r="H998" i="2" s="1"/>
  <c r="H987" i="2"/>
  <c r="F18" i="15"/>
  <c r="E20" i="15"/>
  <c r="L1295" i="2"/>
  <c r="L1356" i="2" s="1"/>
  <c r="M729" i="2"/>
  <c r="M727" i="2"/>
  <c r="M767" i="2"/>
  <c r="I1324" i="2"/>
  <c r="I1325" i="2" s="1"/>
  <c r="I1304" i="2"/>
  <c r="I1305" i="2" s="1"/>
  <c r="I1329" i="2"/>
  <c r="I1330" i="2" s="1"/>
  <c r="I1309" i="2"/>
  <c r="I1310" i="2" s="1"/>
  <c r="I1334" i="2"/>
  <c r="I1335" i="2" s="1"/>
  <c r="I1299" i="2"/>
  <c r="I1300" i="2" s="1"/>
  <c r="I1319" i="2"/>
  <c r="I1320" i="2" s="1"/>
  <c r="I1314" i="2"/>
  <c r="I1315" i="2" s="1"/>
  <c r="I1294" i="2"/>
  <c r="G37" i="23"/>
  <c r="R973" i="2"/>
  <c r="R984" i="2"/>
  <c r="E20" i="26"/>
  <c r="F18" i="26"/>
  <c r="R931" i="2"/>
  <c r="G16" i="23"/>
  <c r="R731" i="2"/>
  <c r="R758" i="2" s="1"/>
  <c r="R759" i="2" s="1"/>
  <c r="R761" i="2" s="1"/>
  <c r="R765" i="2" s="1"/>
  <c r="R773" i="2" s="1"/>
  <c r="R775" i="2" s="1"/>
  <c r="R1045" i="2"/>
  <c r="P1046" i="2"/>
  <c r="R943" i="2"/>
  <c r="D61" i="23"/>
  <c r="R1088" i="2"/>
  <c r="M1000" i="2" l="1"/>
  <c r="M1004" i="2" s="1"/>
  <c r="M934" i="2"/>
  <c r="M938" i="2" s="1"/>
  <c r="G1248" i="2"/>
  <c r="G1274" i="2" s="1"/>
  <c r="G1333" i="2" s="1"/>
  <c r="O1000" i="2"/>
  <c r="O1004" i="2" s="1"/>
  <c r="G1247" i="2"/>
  <c r="G1242" i="2"/>
  <c r="M1295" i="2"/>
  <c r="M1356" i="2" s="1"/>
  <c r="G1244" i="2"/>
  <c r="T1244" i="2" s="1"/>
  <c r="U1244" i="2" s="1"/>
  <c r="V1244" i="2" s="1"/>
  <c r="E18" i="21"/>
  <c r="G1241" i="2"/>
  <c r="G1246" i="2"/>
  <c r="G1272" i="2" s="1"/>
  <c r="G1308" i="2" s="1"/>
  <c r="G1243" i="2"/>
  <c r="T1243" i="2" s="1"/>
  <c r="U1243" i="2" s="1"/>
  <c r="V1243" i="2" s="1"/>
  <c r="I1295" i="2"/>
  <c r="G1240" i="2"/>
  <c r="G1266" i="2" s="1"/>
  <c r="G1293" i="2" s="1"/>
  <c r="I1356" i="2"/>
  <c r="I934" i="2"/>
  <c r="I938" i="2" s="1"/>
  <c r="T982" i="2"/>
  <c r="U982" i="2" s="1"/>
  <c r="V982" i="2" s="1"/>
  <c r="E18" i="16"/>
  <c r="D20" i="16"/>
  <c r="D24" i="16" s="1"/>
  <c r="D40" i="16" s="1"/>
  <c r="D47" i="16" s="1"/>
  <c r="J1356" i="2"/>
  <c r="T925" i="2"/>
  <c r="U925" i="2" s="1"/>
  <c r="G1268" i="2"/>
  <c r="G1303" i="2" s="1"/>
  <c r="T1242" i="2"/>
  <c r="U1242" i="2" s="1"/>
  <c r="V1242" i="2" s="1"/>
  <c r="J1000" i="2"/>
  <c r="J1004" i="2" s="1"/>
  <c r="U852" i="2"/>
  <c r="V852" i="2" s="1"/>
  <c r="T854" i="2"/>
  <c r="K36" i="14"/>
  <c r="L36" i="14" s="1"/>
  <c r="E38" i="14"/>
  <c r="K38" i="14" s="1"/>
  <c r="L38" i="14" s="1"/>
  <c r="T1240" i="2"/>
  <c r="G1340" i="2"/>
  <c r="G1273" i="2"/>
  <c r="G1328" i="2" s="1"/>
  <c r="T1247" i="2"/>
  <c r="U1247" i="2" s="1"/>
  <c r="V1247" i="2" s="1"/>
  <c r="G967" i="2"/>
  <c r="T961" i="2"/>
  <c r="U961" i="2" s="1"/>
  <c r="V961" i="2" s="1"/>
  <c r="G1267" i="2"/>
  <c r="G1298" i="2" s="1"/>
  <c r="T1241" i="2"/>
  <c r="U1241" i="2" s="1"/>
  <c r="V1241" i="2" s="1"/>
  <c r="D41" i="23"/>
  <c r="E28" i="23"/>
  <c r="G1271" i="2"/>
  <c r="G1323" i="2" s="1"/>
  <c r="T1245" i="2"/>
  <c r="U1245" i="2" s="1"/>
  <c r="V1245" i="2" s="1"/>
  <c r="E24" i="15"/>
  <c r="M731" i="2"/>
  <c r="M758" i="2" s="1"/>
  <c r="M759" i="2" s="1"/>
  <c r="M761" i="2" s="1"/>
  <c r="M765" i="2" s="1"/>
  <c r="M773" i="2" s="1"/>
  <c r="M775" i="2" s="1"/>
  <c r="F20" i="15"/>
  <c r="F24" i="15" s="1"/>
  <c r="G18" i="15"/>
  <c r="T903" i="2"/>
  <c r="U903" i="2" s="1"/>
  <c r="V903" i="2" s="1"/>
  <c r="G909" i="2"/>
  <c r="T909" i="2" s="1"/>
  <c r="U909" i="2" s="1"/>
  <c r="V909" i="2" s="1"/>
  <c r="G1082" i="2"/>
  <c r="T1082" i="2" s="1"/>
  <c r="U1082" i="2" s="1"/>
  <c r="V1082" i="2" s="1"/>
  <c r="T1035" i="2"/>
  <c r="U1035" i="2" s="1"/>
  <c r="I731" i="2"/>
  <c r="I758" i="2" s="1"/>
  <c r="I759" i="2" s="1"/>
  <c r="I761" i="2" s="1"/>
  <c r="I765" i="2" s="1"/>
  <c r="I773" i="2" s="1"/>
  <c r="I775" i="2" s="1"/>
  <c r="H18" i="19"/>
  <c r="G20" i="19"/>
  <c r="G24" i="19" s="1"/>
  <c r="E7" i="23"/>
  <c r="D20" i="23"/>
  <c r="H1356" i="2"/>
  <c r="G20" i="25"/>
  <c r="H18" i="25"/>
  <c r="G862" i="2"/>
  <c r="G919" i="2"/>
  <c r="T1075" i="2"/>
  <c r="U1075" i="2" s="1"/>
  <c r="V1075" i="2" s="1"/>
  <c r="U1069" i="2"/>
  <c r="V1069" i="2" s="1"/>
  <c r="H1000" i="2"/>
  <c r="H1004" i="2" s="1"/>
  <c r="E20" i="21"/>
  <c r="F18" i="21"/>
  <c r="G994" i="2"/>
  <c r="T963" i="2"/>
  <c r="U963" i="2" s="1"/>
  <c r="V963" i="2" s="1"/>
  <c r="F18" i="20"/>
  <c r="E20" i="20"/>
  <c r="E24" i="20" s="1"/>
  <c r="I1000" i="2"/>
  <c r="I1004" i="2" s="1"/>
  <c r="F18" i="17"/>
  <c r="E20" i="17"/>
  <c r="O1338" i="2"/>
  <c r="O1356" i="2"/>
  <c r="I1054" i="2"/>
  <c r="G1039" i="2"/>
  <c r="G1080" i="2"/>
  <c r="T1033" i="2"/>
  <c r="U1033" i="2" s="1"/>
  <c r="G723" i="2"/>
  <c r="G750" i="2"/>
  <c r="T750" i="2" s="1"/>
  <c r="U750" i="2" s="1"/>
  <c r="T713" i="2"/>
  <c r="C40" i="14"/>
  <c r="C49" i="23"/>
  <c r="C47" i="14"/>
  <c r="U1228" i="2"/>
  <c r="V1228" i="2" s="1"/>
  <c r="T1237" i="2"/>
  <c r="U1237" i="2" s="1"/>
  <c r="V1237" i="2" s="1"/>
  <c r="R1052" i="2"/>
  <c r="R1053" i="2"/>
  <c r="E24" i="26"/>
  <c r="R934" i="2"/>
  <c r="R1014" i="2"/>
  <c r="R996" i="2"/>
  <c r="R1010" i="2"/>
  <c r="R987" i="2"/>
  <c r="R1092" i="2"/>
  <c r="D58" i="23"/>
  <c r="E61" i="23"/>
  <c r="F20" i="26"/>
  <c r="F24" i="26" s="1"/>
  <c r="G18" i="26"/>
  <c r="R1329" i="2"/>
  <c r="R1330" i="2" s="1"/>
  <c r="R1309" i="2"/>
  <c r="R1310" i="2" s="1"/>
  <c r="R1334" i="2"/>
  <c r="R1335" i="2" s="1"/>
  <c r="R1299" i="2"/>
  <c r="R1300" i="2" s="1"/>
  <c r="R1294" i="2"/>
  <c r="R1295" i="2" s="1"/>
  <c r="R1304" i="2"/>
  <c r="R1305" i="2" s="1"/>
  <c r="R1314" i="2"/>
  <c r="R1315" i="2" s="1"/>
  <c r="R1324" i="2"/>
  <c r="R1325" i="2" s="1"/>
  <c r="R1319" i="2"/>
  <c r="R1320" i="2" s="1"/>
  <c r="T1248" i="2" l="1"/>
  <c r="U1248" i="2" s="1"/>
  <c r="V1248" i="2" s="1"/>
  <c r="G1270" i="2"/>
  <c r="G1318" i="2" s="1"/>
  <c r="T1246" i="2"/>
  <c r="U1246" i="2" s="1"/>
  <c r="V1246" i="2" s="1"/>
  <c r="G1338" i="2"/>
  <c r="G1269" i="2"/>
  <c r="G1313" i="2" s="1"/>
  <c r="G1250" i="2"/>
  <c r="G1339" i="2"/>
  <c r="G1344" i="2" s="1"/>
  <c r="U713" i="2"/>
  <c r="V713" i="2" s="1"/>
  <c r="T723" i="2"/>
  <c r="G18" i="21"/>
  <c r="F20" i="21"/>
  <c r="F24" i="21" s="1"/>
  <c r="G20" i="15"/>
  <c r="G24" i="15" s="1"/>
  <c r="H18" i="15"/>
  <c r="T967" i="2"/>
  <c r="U967" i="2" s="1"/>
  <c r="G969" i="2"/>
  <c r="G1341" i="2"/>
  <c r="G1343" i="2" s="1"/>
  <c r="T862" i="2"/>
  <c r="U854" i="2"/>
  <c r="V854" i="2" s="1"/>
  <c r="G1086" i="2"/>
  <c r="T1080" i="2"/>
  <c r="U1080" i="2" s="1"/>
  <c r="V1080" i="2" s="1"/>
  <c r="E24" i="17"/>
  <c r="G18" i="20"/>
  <c r="F20" i="20"/>
  <c r="F24" i="20" s="1"/>
  <c r="E24" i="21"/>
  <c r="I18" i="25"/>
  <c r="H20" i="25"/>
  <c r="H24" i="25" s="1"/>
  <c r="G7" i="23"/>
  <c r="E20" i="23"/>
  <c r="G20" i="23" s="1"/>
  <c r="U1240" i="2"/>
  <c r="V1240" i="2" s="1"/>
  <c r="F18" i="16"/>
  <c r="E20" i="16"/>
  <c r="C62" i="23"/>
  <c r="G727" i="2"/>
  <c r="G729" i="2"/>
  <c r="T729" i="2" s="1"/>
  <c r="U729" i="2" s="1"/>
  <c r="G767" i="2"/>
  <c r="T767" i="2" s="1"/>
  <c r="U767" i="2" s="1"/>
  <c r="T1039" i="2"/>
  <c r="U1039" i="2" s="1"/>
  <c r="G1041" i="2"/>
  <c r="F20" i="17"/>
  <c r="F24" i="17" s="1"/>
  <c r="G18" i="17"/>
  <c r="G24" i="25"/>
  <c r="T994" i="2"/>
  <c r="U994" i="2" s="1"/>
  <c r="V994" i="2" s="1"/>
  <c r="G929" i="2"/>
  <c r="G941" i="2"/>
  <c r="T919" i="2"/>
  <c r="U919" i="2" s="1"/>
  <c r="G921" i="2"/>
  <c r="I18" i="19"/>
  <c r="H20" i="19"/>
  <c r="H24" i="19" s="1"/>
  <c r="G28" i="23"/>
  <c r="E41" i="23"/>
  <c r="G41" i="23" s="1"/>
  <c r="G1345" i="2"/>
  <c r="R1338" i="2"/>
  <c r="R1356" i="2"/>
  <c r="G20" i="26"/>
  <c r="G24" i="26" s="1"/>
  <c r="H18" i="26"/>
  <c r="R938" i="2"/>
  <c r="R1054" i="2"/>
  <c r="G61" i="23"/>
  <c r="E58" i="23"/>
  <c r="R1012" i="2"/>
  <c r="R998" i="2"/>
  <c r="T1250" i="2" l="1"/>
  <c r="U1250" i="2" s="1"/>
  <c r="V1250" i="2" s="1"/>
  <c r="G973" i="2"/>
  <c r="G984" i="2"/>
  <c r="T969" i="2"/>
  <c r="U969" i="2" s="1"/>
  <c r="I18" i="15"/>
  <c r="H20" i="15"/>
  <c r="T727" i="2"/>
  <c r="U723" i="2"/>
  <c r="G943" i="2"/>
  <c r="T941" i="2"/>
  <c r="U941" i="2" s="1"/>
  <c r="G20" i="17"/>
  <c r="G24" i="17" s="1"/>
  <c r="H18" i="17"/>
  <c r="J18" i="19"/>
  <c r="J20" i="19" s="1"/>
  <c r="J24" i="19" s="1"/>
  <c r="I20" i="19"/>
  <c r="I24" i="19" s="1"/>
  <c r="T929" i="2"/>
  <c r="U929" i="2" s="1"/>
  <c r="G931" i="2"/>
  <c r="T931" i="2" s="1"/>
  <c r="U931" i="2" s="1"/>
  <c r="G1346" i="2"/>
  <c r="E24" i="16"/>
  <c r="T921" i="2"/>
  <c r="U921" i="2" s="1"/>
  <c r="G1045" i="2"/>
  <c r="T1041" i="2"/>
  <c r="U1041" i="2" s="1"/>
  <c r="G731" i="2"/>
  <c r="G758" i="2" s="1"/>
  <c r="G759" i="2" s="1"/>
  <c r="G761" i="2" s="1"/>
  <c r="G765" i="2" s="1"/>
  <c r="G773" i="2" s="1"/>
  <c r="G775" i="2" s="1"/>
  <c r="G18" i="16"/>
  <c r="F20" i="16"/>
  <c r="F24" i="16" s="1"/>
  <c r="I20" i="25"/>
  <c r="I24" i="25" s="1"/>
  <c r="J18" i="25"/>
  <c r="J20" i="25" s="1"/>
  <c r="J24" i="25" s="1"/>
  <c r="H18" i="20"/>
  <c r="G20" i="20"/>
  <c r="D49" i="23"/>
  <c r="T1086" i="2"/>
  <c r="U1086" i="2" s="1"/>
  <c r="V1086" i="2" s="1"/>
  <c r="G1088" i="2"/>
  <c r="H18" i="21"/>
  <c r="G20" i="21"/>
  <c r="G58" i="23"/>
  <c r="R1000" i="2"/>
  <c r="H20" i="26"/>
  <c r="I18" i="26"/>
  <c r="G934" i="2" l="1"/>
  <c r="K24" i="25"/>
  <c r="E26" i="25" s="1"/>
  <c r="K20" i="19"/>
  <c r="L20" i="19" s="1"/>
  <c r="G938" i="2"/>
  <c r="T934" i="2"/>
  <c r="U934" i="2" s="1"/>
  <c r="I18" i="17"/>
  <c r="H20" i="17"/>
  <c r="H24" i="17" s="1"/>
  <c r="U727" i="2"/>
  <c r="T731" i="2"/>
  <c r="G996" i="2"/>
  <c r="G1014" i="2"/>
  <c r="G1010" i="2"/>
  <c r="G987" i="2"/>
  <c r="T987" i="2" s="1"/>
  <c r="U987" i="2" s="1"/>
  <c r="V987" i="2" s="1"/>
  <c r="T984" i="2"/>
  <c r="G24" i="21"/>
  <c r="G24" i="20"/>
  <c r="G1053" i="2"/>
  <c r="T1053" i="2" s="1"/>
  <c r="G1052" i="2"/>
  <c r="H24" i="15"/>
  <c r="G1314" i="2"/>
  <c r="G1315" i="2" s="1"/>
  <c r="G1319" i="2"/>
  <c r="G1320" i="2" s="1"/>
  <c r="G1309" i="2"/>
  <c r="G1310" i="2" s="1"/>
  <c r="G1294" i="2"/>
  <c r="G1295" i="2" s="1"/>
  <c r="G1329" i="2"/>
  <c r="G1330" i="2" s="1"/>
  <c r="G1299" i="2"/>
  <c r="G1300" i="2" s="1"/>
  <c r="G1324" i="2"/>
  <c r="G1325" i="2" s="1"/>
  <c r="G1304" i="2"/>
  <c r="G1305" i="2" s="1"/>
  <c r="G1334" i="2"/>
  <c r="G1335" i="2" s="1"/>
  <c r="J26" i="25"/>
  <c r="J40" i="25" s="1"/>
  <c r="J47" i="25" s="1"/>
  <c r="J51" i="25" s="1"/>
  <c r="I18" i="21"/>
  <c r="H20" i="21"/>
  <c r="H24" i="21" s="1"/>
  <c r="D62" i="23"/>
  <c r="E49" i="23"/>
  <c r="G1092" i="2"/>
  <c r="D18" i="14" s="1"/>
  <c r="T1088" i="2"/>
  <c r="U1088" i="2" s="1"/>
  <c r="V1088" i="2" s="1"/>
  <c r="I18" i="20"/>
  <c r="H20" i="20"/>
  <c r="H24" i="20" s="1"/>
  <c r="G20" i="16"/>
  <c r="G24" i="16" s="1"/>
  <c r="H18" i="16"/>
  <c r="K20" i="25"/>
  <c r="L20" i="25" s="1"/>
  <c r="J18" i="15"/>
  <c r="J20" i="15" s="1"/>
  <c r="J24" i="15" s="1"/>
  <c r="I20" i="15"/>
  <c r="I24" i="15" s="1"/>
  <c r="K24" i="19"/>
  <c r="I26" i="19" s="1"/>
  <c r="I40" i="19" s="1"/>
  <c r="I47" i="19" s="1"/>
  <c r="H24" i="26"/>
  <c r="I20" i="26"/>
  <c r="I24" i="26" s="1"/>
  <c r="J18" i="26"/>
  <c r="J20" i="26" s="1"/>
  <c r="J24" i="26" s="1"/>
  <c r="R1004" i="2"/>
  <c r="F26" i="25" l="1"/>
  <c r="F40" i="25" s="1"/>
  <c r="F47" i="25" s="1"/>
  <c r="F51" i="25" s="1"/>
  <c r="K54" i="25" s="1"/>
  <c r="I26" i="25"/>
  <c r="I40" i="25" s="1"/>
  <c r="I47" i="25" s="1"/>
  <c r="G26" i="25"/>
  <c r="G40" i="25" s="1"/>
  <c r="G47" i="25" s="1"/>
  <c r="G51" i="25" s="1"/>
  <c r="H26" i="25"/>
  <c r="H40" i="25" s="1"/>
  <c r="H47" i="25" s="1"/>
  <c r="H51" i="25" s="1"/>
  <c r="L24" i="25"/>
  <c r="I51" i="19"/>
  <c r="G49" i="23"/>
  <c r="E62" i="23"/>
  <c r="G62" i="23" s="1"/>
  <c r="G1012" i="2"/>
  <c r="T1010" i="2"/>
  <c r="U1010" i="2" s="1"/>
  <c r="V1010" i="2" s="1"/>
  <c r="I20" i="20"/>
  <c r="I24" i="20" s="1"/>
  <c r="K24" i="20" s="1"/>
  <c r="J18" i="20"/>
  <c r="J20" i="20" s="1"/>
  <c r="J24" i="20" s="1"/>
  <c r="E40" i="25"/>
  <c r="H26" i="19"/>
  <c r="H40" i="19" s="1"/>
  <c r="H47" i="19" s="1"/>
  <c r="H51" i="19" s="1"/>
  <c r="L24" i="19"/>
  <c r="E26" i="19"/>
  <c r="F26" i="19"/>
  <c r="F40" i="19" s="1"/>
  <c r="F47" i="19" s="1"/>
  <c r="F51" i="19" s="1"/>
  <c r="K54" i="19" s="1"/>
  <c r="G26" i="19"/>
  <c r="G40" i="19" s="1"/>
  <c r="G47" i="19" s="1"/>
  <c r="G51" i="19" s="1"/>
  <c r="J26" i="19"/>
  <c r="J40" i="19" s="1"/>
  <c r="J47" i="19" s="1"/>
  <c r="J51" i="19" s="1"/>
  <c r="I18" i="16"/>
  <c r="H20" i="16"/>
  <c r="H24" i="16" s="1"/>
  <c r="G1356" i="2"/>
  <c r="K20" i="15"/>
  <c r="L20" i="15" s="1"/>
  <c r="U984" i="2"/>
  <c r="V984" i="2" s="1"/>
  <c r="T1014" i="2"/>
  <c r="U1014" i="2" s="1"/>
  <c r="G998" i="2"/>
  <c r="T996" i="2"/>
  <c r="U996" i="2" s="1"/>
  <c r="V996" i="2" s="1"/>
  <c r="I20" i="17"/>
  <c r="J18" i="17"/>
  <c r="J20" i="17" s="1"/>
  <c r="J24" i="17" s="1"/>
  <c r="E18" i="14"/>
  <c r="D20" i="14"/>
  <c r="D24" i="14" s="1"/>
  <c r="D40" i="14" s="1"/>
  <c r="D47" i="14" s="1"/>
  <c r="I20" i="21"/>
  <c r="I24" i="21" s="1"/>
  <c r="J18" i="21"/>
  <c r="J20" i="21" s="1"/>
  <c r="J24" i="21" s="1"/>
  <c r="K24" i="15"/>
  <c r="I26" i="15" s="1"/>
  <c r="I40" i="15" s="1"/>
  <c r="I47" i="15" s="1"/>
  <c r="G1054" i="2"/>
  <c r="T1052" i="2"/>
  <c r="T1056" i="2" s="1"/>
  <c r="U731" i="2"/>
  <c r="T758" i="2"/>
  <c r="I51" i="25"/>
  <c r="K58" i="25"/>
  <c r="K20" i="26"/>
  <c r="L20" i="26" s="1"/>
  <c r="K24" i="26"/>
  <c r="I26" i="26" s="1"/>
  <c r="I40" i="26" s="1"/>
  <c r="I47" i="26" s="1"/>
  <c r="K26" i="25" l="1"/>
  <c r="L26" i="25" s="1"/>
  <c r="K20" i="20"/>
  <c r="L20" i="20" s="1"/>
  <c r="H26" i="15"/>
  <c r="H40" i="15" s="1"/>
  <c r="H47" i="15" s="1"/>
  <c r="H51" i="15" s="1"/>
  <c r="I51" i="15"/>
  <c r="L24" i="20"/>
  <c r="E26" i="20"/>
  <c r="F26" i="20"/>
  <c r="F40" i="20" s="1"/>
  <c r="F47" i="20" s="1"/>
  <c r="F51" i="20" s="1"/>
  <c r="K54" i="20" s="1"/>
  <c r="H26" i="20"/>
  <c r="H40" i="20" s="1"/>
  <c r="H47" i="20" s="1"/>
  <c r="H51" i="20" s="1"/>
  <c r="G26" i="20"/>
  <c r="G40" i="20" s="1"/>
  <c r="G47" i="20" s="1"/>
  <c r="G51" i="20" s="1"/>
  <c r="K53" i="25"/>
  <c r="K57" i="25" s="1"/>
  <c r="K59" i="25" s="1"/>
  <c r="K51" i="25"/>
  <c r="G1000" i="2"/>
  <c r="T998" i="2"/>
  <c r="U998" i="2" s="1"/>
  <c r="V998" i="2" s="1"/>
  <c r="K40" i="25"/>
  <c r="L40" i="25" s="1"/>
  <c r="E47" i="25"/>
  <c r="J26" i="20"/>
  <c r="J40" i="20" s="1"/>
  <c r="J47" i="20" s="1"/>
  <c r="J51" i="20" s="1"/>
  <c r="T759" i="2"/>
  <c r="U758" i="2"/>
  <c r="T1054" i="2"/>
  <c r="G1055" i="2" s="1"/>
  <c r="K24" i="21"/>
  <c r="J26" i="21" s="1"/>
  <c r="J40" i="21" s="1"/>
  <c r="J47" i="21" s="1"/>
  <c r="J51" i="21" s="1"/>
  <c r="I20" i="16"/>
  <c r="J18" i="16"/>
  <c r="J20" i="16" s="1"/>
  <c r="J24" i="16" s="1"/>
  <c r="K26" i="19"/>
  <c r="L26" i="19" s="1"/>
  <c r="E40" i="19"/>
  <c r="I26" i="20"/>
  <c r="I40" i="20" s="1"/>
  <c r="I47" i="20" s="1"/>
  <c r="K20" i="21"/>
  <c r="L20" i="21" s="1"/>
  <c r="L24" i="15"/>
  <c r="F26" i="15"/>
  <c r="F40" i="15" s="1"/>
  <c r="F47" i="15" s="1"/>
  <c r="F51" i="15" s="1"/>
  <c r="E26" i="15"/>
  <c r="G26" i="15"/>
  <c r="G40" i="15" s="1"/>
  <c r="G47" i="15" s="1"/>
  <c r="G51" i="15" s="1"/>
  <c r="I24" i="17"/>
  <c r="K20" i="17"/>
  <c r="L20" i="17" s="1"/>
  <c r="J26" i="15"/>
  <c r="J40" i="15" s="1"/>
  <c r="J47" i="15" s="1"/>
  <c r="J51" i="15" s="1"/>
  <c r="K58" i="19"/>
  <c r="E20" i="14"/>
  <c r="F18" i="14"/>
  <c r="K53" i="19"/>
  <c r="K57" i="19" s="1"/>
  <c r="K51" i="19"/>
  <c r="I51" i="26"/>
  <c r="H26" i="26"/>
  <c r="H40" i="26" s="1"/>
  <c r="H47" i="26" s="1"/>
  <c r="H51" i="26" s="1"/>
  <c r="L24" i="26"/>
  <c r="F26" i="26"/>
  <c r="F40" i="26" s="1"/>
  <c r="F47" i="26" s="1"/>
  <c r="F51" i="26" s="1"/>
  <c r="K54" i="26" s="1"/>
  <c r="E26" i="26"/>
  <c r="G26" i="26"/>
  <c r="G40" i="26" s="1"/>
  <c r="G47" i="26" s="1"/>
  <c r="G51" i="26" s="1"/>
  <c r="J26" i="26"/>
  <c r="J40" i="26" s="1"/>
  <c r="J47" i="26" s="1"/>
  <c r="J51" i="26" s="1"/>
  <c r="I26" i="21" l="1"/>
  <c r="I40" i="21" s="1"/>
  <c r="I47" i="21" s="1"/>
  <c r="I51" i="20"/>
  <c r="K58" i="20"/>
  <c r="I24" i="16"/>
  <c r="K24" i="16" s="1"/>
  <c r="J26" i="16" s="1"/>
  <c r="J40" i="16" s="1"/>
  <c r="J47" i="16" s="1"/>
  <c r="J51" i="16" s="1"/>
  <c r="K20" i="16"/>
  <c r="L20" i="16" s="1"/>
  <c r="G1056" i="2"/>
  <c r="G1058" i="2" s="1"/>
  <c r="K26" i="20"/>
  <c r="L26" i="20" s="1"/>
  <c r="E40" i="20"/>
  <c r="F20" i="14"/>
  <c r="F24" i="14" s="1"/>
  <c r="G18" i="14"/>
  <c r="E24" i="14"/>
  <c r="K24" i="17"/>
  <c r="I26" i="17" s="1"/>
  <c r="I40" i="17" s="1"/>
  <c r="I47" i="17" s="1"/>
  <c r="K40" i="19"/>
  <c r="L40" i="19" s="1"/>
  <c r="E47" i="19"/>
  <c r="J1055" i="2"/>
  <c r="J1056" i="2" s="1"/>
  <c r="J1058" i="2" s="1"/>
  <c r="O1055" i="2"/>
  <c r="O1056" i="2" s="1"/>
  <c r="O1058" i="2" s="1"/>
  <c r="N1055" i="2"/>
  <c r="N1056" i="2" s="1"/>
  <c r="N1058" i="2" s="1"/>
  <c r="M1055" i="2"/>
  <c r="M1056" i="2" s="1"/>
  <c r="M1058" i="2" s="1"/>
  <c r="R1055" i="2"/>
  <c r="R1056" i="2" s="1"/>
  <c r="R1058" i="2" s="1"/>
  <c r="H1055" i="2"/>
  <c r="H1056" i="2" s="1"/>
  <c r="H1058" i="2" s="1"/>
  <c r="Q1055" i="2"/>
  <c r="Q1056" i="2" s="1"/>
  <c r="Q1058" i="2" s="1"/>
  <c r="P1055" i="2"/>
  <c r="P1056" i="2" s="1"/>
  <c r="P1058" i="2" s="1"/>
  <c r="K1055" i="2"/>
  <c r="K1056" i="2" s="1"/>
  <c r="K1058" i="2" s="1"/>
  <c r="I1055" i="2"/>
  <c r="I1056" i="2" s="1"/>
  <c r="I1058" i="2" s="1"/>
  <c r="L1055" i="2"/>
  <c r="L1056" i="2" s="1"/>
  <c r="L1058" i="2" s="1"/>
  <c r="E51" i="25"/>
  <c r="K55" i="25" s="1"/>
  <c r="K47" i="25"/>
  <c r="L47" i="25" s="1"/>
  <c r="G1004" i="2"/>
  <c r="T1000" i="2"/>
  <c r="U1000" i="2" s="1"/>
  <c r="V1000" i="2" s="1"/>
  <c r="I51" i="21"/>
  <c r="K58" i="21"/>
  <c r="K53" i="15"/>
  <c r="K56" i="15" s="1"/>
  <c r="K51" i="15"/>
  <c r="K59" i="19"/>
  <c r="K26" i="15"/>
  <c r="L26" i="15" s="1"/>
  <c r="E40" i="15"/>
  <c r="L24" i="21"/>
  <c r="E26" i="21"/>
  <c r="F26" i="21"/>
  <c r="F40" i="21" s="1"/>
  <c r="F47" i="21" s="1"/>
  <c r="F51" i="21" s="1"/>
  <c r="K54" i="21" s="1"/>
  <c r="G26" i="21"/>
  <c r="G40" i="21" s="1"/>
  <c r="G47" i="21" s="1"/>
  <c r="G51" i="21" s="1"/>
  <c r="H26" i="21"/>
  <c r="H40" i="21" s="1"/>
  <c r="H47" i="21" s="1"/>
  <c r="H51" i="21" s="1"/>
  <c r="U759" i="2"/>
  <c r="T761" i="2"/>
  <c r="K57" i="15"/>
  <c r="K58" i="26"/>
  <c r="E40" i="26"/>
  <c r="K26" i="26"/>
  <c r="L26" i="26" s="1"/>
  <c r="K51" i="26"/>
  <c r="K53" i="26"/>
  <c r="K57" i="26" s="1"/>
  <c r="I51" i="17" l="1"/>
  <c r="K51" i="21"/>
  <c r="K53" i="21"/>
  <c r="K57" i="21" s="1"/>
  <c r="K59" i="21" s="1"/>
  <c r="K47" i="19"/>
  <c r="L47" i="19" s="1"/>
  <c r="E51" i="19"/>
  <c r="K55" i="19" s="1"/>
  <c r="K40" i="20"/>
  <c r="L40" i="20" s="1"/>
  <c r="E47" i="20"/>
  <c r="I26" i="16"/>
  <c r="I40" i="16" s="1"/>
  <c r="I47" i="16" s="1"/>
  <c r="L24" i="16"/>
  <c r="E26" i="16"/>
  <c r="F26" i="16"/>
  <c r="F40" i="16" s="1"/>
  <c r="F47" i="16" s="1"/>
  <c r="F51" i="16" s="1"/>
  <c r="G26" i="16"/>
  <c r="G40" i="16" s="1"/>
  <c r="G47" i="16" s="1"/>
  <c r="G51" i="16" s="1"/>
  <c r="H26" i="16"/>
  <c r="H40" i="16" s="1"/>
  <c r="H47" i="16" s="1"/>
  <c r="H51" i="16" s="1"/>
  <c r="T765" i="2"/>
  <c r="U761" i="2"/>
  <c r="K40" i="15"/>
  <c r="L40" i="15" s="1"/>
  <c r="E47" i="15"/>
  <c r="K58" i="15"/>
  <c r="G20" i="14"/>
  <c r="H18" i="14"/>
  <c r="T1055" i="2"/>
  <c r="U1055" i="2" s="1"/>
  <c r="E40" i="21"/>
  <c r="K26" i="21"/>
  <c r="L26" i="21" s="1"/>
  <c r="L24" i="17"/>
  <c r="F26" i="17"/>
  <c r="F40" i="17" s="1"/>
  <c r="F47" i="17" s="1"/>
  <c r="F51" i="17" s="1"/>
  <c r="K54" i="17" s="1"/>
  <c r="E26" i="17"/>
  <c r="G26" i="17"/>
  <c r="G40" i="17" s="1"/>
  <c r="G47" i="17" s="1"/>
  <c r="G51" i="17" s="1"/>
  <c r="H26" i="17"/>
  <c r="H40" i="17" s="1"/>
  <c r="H47" i="17" s="1"/>
  <c r="H51" i="17" s="1"/>
  <c r="J26" i="17"/>
  <c r="J40" i="17" s="1"/>
  <c r="J47" i="17" s="1"/>
  <c r="J51" i="17" s="1"/>
  <c r="F1058" i="2"/>
  <c r="T1058" i="2"/>
  <c r="U1058" i="2" s="1"/>
  <c r="K51" i="20"/>
  <c r="K53" i="20"/>
  <c r="K57" i="20" s="1"/>
  <c r="K59" i="20" s="1"/>
  <c r="K59" i="26"/>
  <c r="E47" i="26"/>
  <c r="K40" i="26"/>
  <c r="L40" i="26" s="1"/>
  <c r="E51" i="15" l="1"/>
  <c r="K54" i="15" s="1"/>
  <c r="K47" i="15"/>
  <c r="L47" i="15" s="1"/>
  <c r="K47" i="20"/>
  <c r="L47" i="20" s="1"/>
  <c r="E51" i="20"/>
  <c r="K55" i="20" s="1"/>
  <c r="I18" i="14"/>
  <c r="H20" i="14"/>
  <c r="H24" i="14" s="1"/>
  <c r="I51" i="16"/>
  <c r="K57" i="16"/>
  <c r="G24" i="14"/>
  <c r="K53" i="17"/>
  <c r="K57" i="17" s="1"/>
  <c r="K51" i="17"/>
  <c r="K26" i="17"/>
  <c r="L26" i="17" s="1"/>
  <c r="E40" i="17"/>
  <c r="E47" i="21"/>
  <c r="K40" i="21"/>
  <c r="L40" i="21" s="1"/>
  <c r="U765" i="2"/>
  <c r="T773" i="2"/>
  <c r="K26" i="16"/>
  <c r="L26" i="16" s="1"/>
  <c r="E40" i="16"/>
  <c r="K58" i="17"/>
  <c r="E51" i="26"/>
  <c r="K55" i="26" s="1"/>
  <c r="K47" i="26"/>
  <c r="L47" i="26" s="1"/>
  <c r="E47" i="16" l="1"/>
  <c r="K40" i="16"/>
  <c r="L40" i="16" s="1"/>
  <c r="K47" i="21"/>
  <c r="L47" i="21" s="1"/>
  <c r="E51" i="21"/>
  <c r="K55" i="21" s="1"/>
  <c r="K59" i="17"/>
  <c r="K53" i="16"/>
  <c r="K56" i="16" s="1"/>
  <c r="K58" i="16" s="1"/>
  <c r="K51" i="16"/>
  <c r="U773" i="2"/>
  <c r="T775" i="2"/>
  <c r="U775" i="2" s="1"/>
  <c r="E47" i="17"/>
  <c r="K40" i="17"/>
  <c r="L40" i="17" s="1"/>
  <c r="I20" i="14"/>
  <c r="J18" i="14"/>
  <c r="J20" i="14" s="1"/>
  <c r="J24" i="14" s="1"/>
  <c r="I24" i="14" l="1"/>
  <c r="K20" i="14"/>
  <c r="L20" i="14" s="1"/>
  <c r="E51" i="17"/>
  <c r="K55" i="17" s="1"/>
  <c r="K47" i="17"/>
  <c r="L47" i="17" s="1"/>
  <c r="K47" i="16"/>
  <c r="L47" i="16" s="1"/>
  <c r="E51" i="16"/>
  <c r="K54" i="16" s="1"/>
  <c r="K24" i="14" l="1"/>
  <c r="H26" i="14" l="1"/>
  <c r="H40" i="14" s="1"/>
  <c r="H47" i="14" s="1"/>
  <c r="H51" i="14" s="1"/>
  <c r="L24" i="14"/>
  <c r="F26" i="14"/>
  <c r="F40" i="14" s="1"/>
  <c r="F47" i="14" s="1"/>
  <c r="F51" i="14" s="1"/>
  <c r="E26" i="14"/>
  <c r="G26" i="14"/>
  <c r="G40" i="14" s="1"/>
  <c r="G47" i="14" s="1"/>
  <c r="G51" i="14" s="1"/>
  <c r="J26" i="14"/>
  <c r="J40" i="14" s="1"/>
  <c r="J47" i="14" s="1"/>
  <c r="J51" i="14" s="1"/>
  <c r="I26" i="14"/>
  <c r="I40" i="14" s="1"/>
  <c r="I47" i="14" s="1"/>
  <c r="K26" i="14" l="1"/>
  <c r="L26" i="14" s="1"/>
  <c r="E40" i="14"/>
  <c r="K57" i="14"/>
  <c r="I51" i="14"/>
  <c r="K51" i="14" l="1"/>
  <c r="K53" i="14"/>
  <c r="K56" i="14" s="1"/>
  <c r="K58" i="14" s="1"/>
  <c r="E47" i="14"/>
  <c r="K40" i="14"/>
  <c r="L40" i="14" s="1"/>
  <c r="E51" i="14" l="1"/>
  <c r="K54" i="14" s="1"/>
  <c r="K47" i="14"/>
  <c r="L47" i="14" s="1"/>
</calcChain>
</file>

<file path=xl/comments1.xml><?xml version="1.0" encoding="utf-8"?>
<comments xmlns="http://schemas.openxmlformats.org/spreadsheetml/2006/main">
  <authors>
    <author>Steve Seelye</author>
  </authors>
  <commentList>
    <comment ref="D127" authorId="0">
      <text>
        <r>
          <rPr>
            <b/>
            <sz val="8"/>
            <color indexed="81"/>
            <rFont val="Tahoma"/>
            <family val="2"/>
          </rPr>
          <t>Adjustment to remeove customer that switched to Contract rate</t>
        </r>
      </text>
    </comment>
  </commentList>
</comments>
</file>

<file path=xl/sharedStrings.xml><?xml version="1.0" encoding="utf-8"?>
<sst xmlns="http://schemas.openxmlformats.org/spreadsheetml/2006/main" count="6580" uniqueCount="2835">
  <si>
    <t xml:space="preserve">    DISTRIBUTION</t>
  </si>
  <si>
    <t xml:space="preserve">    POWER POOL</t>
  </si>
  <si>
    <t>Capacitors from Prop Acct Plant Detail Report Acct 368 (UOP 444-496)</t>
  </si>
  <si>
    <t xml:space="preserve">    ALL OTHER</t>
  </si>
  <si>
    <t xml:space="preserve"> TOTAL KENTUCKY DISTRIB PLANT</t>
  </si>
  <si>
    <t xml:space="preserve"> VIRGINIA DISTRIBUTION PLANT</t>
  </si>
  <si>
    <t>Capacitors from Prop Acct Plant Detail Report Acct 368 (UOP 461-496)</t>
  </si>
  <si>
    <t xml:space="preserve"> TOTAL VIRGINIA DISTRIB PLANT</t>
  </si>
  <si>
    <t>ACCUMULATED PROVISION FOR DEP</t>
  </si>
  <si>
    <t xml:space="preserve"> PRODUCTION PLANT</t>
  </si>
  <si>
    <t xml:space="preserve">  STEAM PRODUCTION PLANT</t>
  </si>
  <si>
    <t xml:space="preserve">    SYSTEM</t>
  </si>
  <si>
    <t>Less Allocated RWIP</t>
  </si>
  <si>
    <t xml:space="preserve">    FERC-AFUDC PRE</t>
  </si>
  <si>
    <t xml:space="preserve">    FERC-AFUDC POST</t>
  </si>
  <si>
    <t xml:space="preserve">     TOTAL STEAM PROD PLT</t>
  </si>
  <si>
    <t xml:space="preserve">  HYDRAULIC PRODUCTION PLANT</t>
  </si>
  <si>
    <t xml:space="preserve">     TOTAL HYDRO PROD PLT</t>
  </si>
  <si>
    <t xml:space="preserve">  OTHER PRODUCTION PLANT</t>
  </si>
  <si>
    <t xml:space="preserve">     TOTAL OTHER PROD PLT</t>
  </si>
  <si>
    <t xml:space="preserve"> TOTAL PRODUCTION PLANT</t>
  </si>
  <si>
    <t xml:space="preserve"> TRANSMISSION PLANT</t>
  </si>
  <si>
    <t xml:space="preserve"> TOTAL TRANSMISSION PLANT</t>
  </si>
  <si>
    <t xml:space="preserve"> TOTAL DISTRIBUTION PLANT</t>
  </si>
  <si>
    <t xml:space="preserve"> GENERAL PLANT</t>
  </si>
  <si>
    <t xml:space="preserve"> INTANGIBLE PLANT-FRANCHISES</t>
  </si>
  <si>
    <t xml:space="preserve"> INTANGIBLE PLANT-SOFTWARE</t>
  </si>
  <si>
    <t>TOTAL DEPRECIATION RESERVE</t>
  </si>
  <si>
    <t>ADDITIONS TO NET PLANT</t>
  </si>
  <si>
    <t>Adjust base expenses for full year of ECR roll-in</t>
  </si>
  <si>
    <t>VIRGINIA DISTRIBUTION PLANT</t>
  </si>
  <si>
    <t>VADIST</t>
  </si>
  <si>
    <t>TENNESSEE DISTRIBUTION PLT</t>
  </si>
  <si>
    <t>TNDIST</t>
  </si>
  <si>
    <t>NET ELECTRIC PLANT IN SERVICE</t>
  </si>
  <si>
    <t>NETPLANT</t>
  </si>
  <si>
    <t>RATE BASE</t>
  </si>
  <si>
    <t>RATEBASE</t>
  </si>
  <si>
    <t>TOTAL CWIP FERC-AFUDC POST</t>
  </si>
  <si>
    <t>TOTAL 203(E) EXCESS</t>
  </si>
  <si>
    <t>DEFTAX</t>
  </si>
  <si>
    <t>STEAM OPERATING EXP 501-507</t>
  </si>
  <si>
    <t>STEAM MAINTENANCE EXP 511-514</t>
  </si>
  <si>
    <t>HYDRO OPERATING EXP 536-540</t>
  </si>
  <si>
    <t>HYDRO MAINTENANCE EXP 542-545</t>
  </si>
  <si>
    <t>OTHER PROD OPER EXP 547-549</t>
  </si>
  <si>
    <t>OTHER PROD MAINT EXP 552-554</t>
  </si>
  <si>
    <t>TOT STEAM OPERATIONS LABOR</t>
  </si>
  <si>
    <t>LABSTMOP</t>
  </si>
  <si>
    <t>TOT STEAM MAINTENANCE LABOR</t>
  </si>
  <si>
    <t>LABSTMMN</t>
  </si>
  <si>
    <t>TOT HYDRO OPERATIONS LABOR</t>
  </si>
  <si>
    <t>LABHYDOP</t>
  </si>
  <si>
    <t>TOT HYDRO MAINTENANCE LABOR</t>
  </si>
  <si>
    <t>LABHYDMN</t>
  </si>
  <si>
    <t>TOT OTHER OPERATIONS LABOR</t>
  </si>
  <si>
    <t>LABOTHOP</t>
  </si>
  <si>
    <t>PPWDRA</t>
  </si>
  <si>
    <t>PPWDT</t>
  </si>
  <si>
    <t>PPWDA</t>
  </si>
  <si>
    <t>PPSDRA</t>
  </si>
  <si>
    <t>PPSDT</t>
  </si>
  <si>
    <t>PPSDA</t>
  </si>
  <si>
    <t>Operating Expenses-Unit Costs</t>
  </si>
  <si>
    <t>Rate Base-Unit Costs</t>
  </si>
  <si>
    <t>Production Base Demand</t>
  </si>
  <si>
    <t>Production Demand Intermediate (Per Kwh or Kw)</t>
  </si>
  <si>
    <t>Production Intermediate Demand Margin (Per Kwh or Kw)</t>
  </si>
  <si>
    <t>Total Production Intermediate Demand (Per Kwh or Kw)</t>
  </si>
  <si>
    <t>Production Intermediate Demand</t>
  </si>
  <si>
    <t>Production Peak Demand</t>
  </si>
  <si>
    <t>Production Demand Peak (Per Kwh or Kw)</t>
  </si>
  <si>
    <t>Production Peak Demand Margin (Per Kwh or Kw)</t>
  </si>
  <si>
    <t>LABPTDFER</t>
  </si>
  <si>
    <t>REVENUES FROM ELECTRIC SALES</t>
  </si>
  <si>
    <t>ANNUALIZATION</t>
  </si>
  <si>
    <t>RATIO TABLE</t>
  </si>
  <si>
    <t>CAPACITY RELATED</t>
  </si>
  <si>
    <t xml:space="preserve">DIR ASSIGN ACCUM DEPREC.VA &amp; TN </t>
  </si>
  <si>
    <t>DIR ASSIGN CWIP VA &amp; TN</t>
  </si>
  <si>
    <t>DIR ASSIGN ACC DFD TAX VA</t>
  </si>
  <si>
    <t>Functional</t>
  </si>
  <si>
    <t>Total</t>
  </si>
  <si>
    <t>Accretion Expenses</t>
  </si>
  <si>
    <t xml:space="preserve">  Production Plant</t>
  </si>
  <si>
    <t xml:space="preserve">  Transmission Plant</t>
  </si>
  <si>
    <t>TACRT</t>
  </si>
  <si>
    <t>ACRTPP</t>
  </si>
  <si>
    <t>ACRTTP</t>
  </si>
  <si>
    <t>ACPPDB</t>
  </si>
  <si>
    <t>ACPPDI</t>
  </si>
  <si>
    <t>ACPPDP</t>
  </si>
  <si>
    <t>ACPPEB</t>
  </si>
  <si>
    <t>ACPPEI</t>
  </si>
  <si>
    <t>ACPPEP</t>
  </si>
  <si>
    <t>ACPPT</t>
  </si>
  <si>
    <t>ACTRB</t>
  </si>
  <si>
    <t>ACTRI</t>
  </si>
  <si>
    <t>ACTRP</t>
  </si>
  <si>
    <t>ACTRT</t>
  </si>
  <si>
    <t>ACDPS</t>
  </si>
  <si>
    <t>ACDSG</t>
  </si>
  <si>
    <t>ACDPLS</t>
  </si>
  <si>
    <t>ACDPLD</t>
  </si>
  <si>
    <t>ACDPLC</t>
  </si>
  <si>
    <t>ACDSLD</t>
  </si>
  <si>
    <t>ACDSLC</t>
  </si>
  <si>
    <t>ACDLT</t>
  </si>
  <si>
    <t>ACDLTD</t>
  </si>
  <si>
    <t>ACDLTC</t>
  </si>
  <si>
    <t>ACDLTT</t>
  </si>
  <si>
    <t>ACDSC</t>
  </si>
  <si>
    <t>ACDMC</t>
  </si>
  <si>
    <t>ACDSCL</t>
  </si>
  <si>
    <t>ACCAE</t>
  </si>
  <si>
    <t>ACCSI</t>
  </si>
  <si>
    <t>ACT</t>
  </si>
  <si>
    <t>Station Equipment</t>
  </si>
  <si>
    <t>Meters</t>
  </si>
  <si>
    <t>Description</t>
  </si>
  <si>
    <t>Name</t>
  </si>
  <si>
    <t>Vector</t>
  </si>
  <si>
    <t>System</t>
  </si>
  <si>
    <t>Demand</t>
  </si>
  <si>
    <t>Energy</t>
  </si>
  <si>
    <t>Customer</t>
  </si>
  <si>
    <t>Total Check</t>
  </si>
  <si>
    <t>Status</t>
  </si>
  <si>
    <t>Plant in Service</t>
  </si>
  <si>
    <t>PDIST</t>
  </si>
  <si>
    <t>Total Intangible Plant</t>
  </si>
  <si>
    <t>PINT</t>
  </si>
  <si>
    <t>Distribution</t>
  </si>
  <si>
    <t>P362</t>
  </si>
  <si>
    <t>F001</t>
  </si>
  <si>
    <t>F002</t>
  </si>
  <si>
    <t>P365</t>
  </si>
  <si>
    <t>F003</t>
  </si>
  <si>
    <t>F004</t>
  </si>
  <si>
    <t>P367</t>
  </si>
  <si>
    <t>P368</t>
  </si>
  <si>
    <t>F005</t>
  </si>
  <si>
    <t>P369</t>
  </si>
  <si>
    <t xml:space="preserve">  542-STRUCTURES</t>
  </si>
  <si>
    <t xml:space="preserve">  543-RESERV, DAMS &amp; WATERWAY</t>
  </si>
  <si>
    <t xml:space="preserve">  544-ELECTRIC PLANT</t>
  </si>
  <si>
    <t xml:space="preserve">  545-MISC HYDRAULIC PLANT</t>
  </si>
  <si>
    <t>Distribution Meters</t>
  </si>
  <si>
    <t>Distribution Services</t>
  </si>
  <si>
    <t>Distribution Sec. Lines</t>
  </si>
  <si>
    <t>Distribution Primary Lines</t>
  </si>
  <si>
    <t>Distribution Line Trans.</t>
  </si>
  <si>
    <t>LB507</t>
  </si>
  <si>
    <t xml:space="preserve">  Production Demand - Base</t>
  </si>
  <si>
    <t xml:space="preserve">  Production Demand - Peak</t>
  </si>
  <si>
    <t xml:space="preserve">  Production Energy - Base</t>
  </si>
  <si>
    <t xml:space="preserve">  Production Energy - Peak</t>
  </si>
  <si>
    <t xml:space="preserve">  Production Demand - Inter.</t>
  </si>
  <si>
    <t xml:space="preserve">  Production Energy - Inter.</t>
  </si>
  <si>
    <t xml:space="preserve">  Transmission Demand - Base</t>
  </si>
  <si>
    <t xml:space="preserve">  Transmission Demand - Peak</t>
  </si>
  <si>
    <t xml:space="preserve">  Transmission Demand - Inter.</t>
  </si>
  <si>
    <t>PLTRB</t>
  </si>
  <si>
    <t>PLTRI</t>
  </si>
  <si>
    <t>PLTRP</t>
  </si>
  <si>
    <t>PLTRT</t>
  </si>
  <si>
    <t>Power Production Plant</t>
  </si>
  <si>
    <t>PLPPDB</t>
  </si>
  <si>
    <t>PLPPDI</t>
  </si>
  <si>
    <t>PLPPDP</t>
  </si>
  <si>
    <t>PLPPEB</t>
  </si>
  <si>
    <t>PLPPEI</t>
  </si>
  <si>
    <t>PLPPEP</t>
  </si>
  <si>
    <t>Distribution Street &amp; Customer Lighting</t>
  </si>
  <si>
    <t xml:space="preserve">  Specific</t>
  </si>
  <si>
    <t>Distribution Primary &amp; Secondary Lines</t>
  </si>
  <si>
    <t xml:space="preserve">  General</t>
  </si>
  <si>
    <t>PLDPS</t>
  </si>
  <si>
    <t>PLDSG</t>
  </si>
  <si>
    <t>PLDSC</t>
  </si>
  <si>
    <t>Total Distribution Primary &amp; Secondary Lines</t>
  </si>
  <si>
    <t>PLDPLS</t>
  </si>
  <si>
    <t>PLDPLD</t>
  </si>
  <si>
    <t>PLDPLC</t>
  </si>
  <si>
    <t>PLDSLD</t>
  </si>
  <si>
    <t>PLDSLC</t>
  </si>
  <si>
    <t>PLDLT</t>
  </si>
  <si>
    <t>PLDLTD</t>
  </si>
  <si>
    <t>PLDLTC</t>
  </si>
  <si>
    <t>Total Power Production Plant</t>
  </si>
  <si>
    <t>PLDMC</t>
  </si>
  <si>
    <t>PLDLTT</t>
  </si>
  <si>
    <t>PLDSCL</t>
  </si>
  <si>
    <t>PLCAE</t>
  </si>
  <si>
    <t>F006</t>
  </si>
  <si>
    <t>P370</t>
  </si>
  <si>
    <t>F007</t>
  </si>
  <si>
    <t>P371</t>
  </si>
  <si>
    <t>P373</t>
  </si>
  <si>
    <t>F008</t>
  </si>
  <si>
    <t>Total Distribution Plant</t>
  </si>
  <si>
    <t>General Plant</t>
  </si>
  <si>
    <t>Total General Plant</t>
  </si>
  <si>
    <t>PGP</t>
  </si>
  <si>
    <t>Total Plant in Service</t>
  </si>
  <si>
    <t>TPIS</t>
  </si>
  <si>
    <t>Construction Work in Progress (CWIP)</t>
  </si>
  <si>
    <t xml:space="preserve">  Total Construction Work in Progress</t>
  </si>
  <si>
    <t>TCWIP</t>
  </si>
  <si>
    <t>Materials and Supplies</t>
  </si>
  <si>
    <t>Rate Base</t>
  </si>
  <si>
    <t>Utility Plant</t>
  </si>
  <si>
    <t xml:space="preserve">    Total Utility Plant</t>
  </si>
  <si>
    <t>TUP</t>
  </si>
  <si>
    <t>Less: Acummulated Provision for Depreciation</t>
  </si>
  <si>
    <t xml:space="preserve">  General Plant</t>
  </si>
  <si>
    <t>ADEPRGP</t>
  </si>
  <si>
    <t xml:space="preserve">   Total Accumulated Depreciation</t>
  </si>
  <si>
    <t>TADEPR</t>
  </si>
  <si>
    <t>Net Utility Plant</t>
  </si>
  <si>
    <t>NTPLANT</t>
  </si>
  <si>
    <t xml:space="preserve">  Nondeductible Expenses</t>
  </si>
  <si>
    <t xml:space="preserve">  Preferred Stock Dividend Deduction</t>
  </si>
  <si>
    <t xml:space="preserve">  Environmental Tax</t>
  </si>
  <si>
    <t>Net Additions/Deductions</t>
  </si>
  <si>
    <t>Total Prod, Trans, and Dist Plant</t>
  </si>
  <si>
    <t>Customer Advances</t>
  </si>
  <si>
    <t>Total Production Peak Demand (Per Kwh or Kw)</t>
  </si>
  <si>
    <t>Production Energy Margin</t>
  </si>
  <si>
    <t>Total Production Energy</t>
  </si>
  <si>
    <t>Transmission Base Demand</t>
  </si>
  <si>
    <t>Transmission Demand Intermediate (Per Kwh or Kw)</t>
  </si>
  <si>
    <t>Transmission Intermediate Demand Margin (Per Kwh or Kw)</t>
  </si>
  <si>
    <t>Total Transmission Intermediate Demand (Per Kwh or Kw)</t>
  </si>
  <si>
    <t>Transmission Intermediate Demand</t>
  </si>
  <si>
    <t>Transmission Peak Demand</t>
  </si>
  <si>
    <t>Transmission Demand Peak (Per Kwh or Kw)</t>
  </si>
  <si>
    <t>Transmission Peak Demand Margin (Per Kwh or Kw)</t>
  </si>
  <si>
    <t>Total Transmission Peak Demand (Per Kwh or Kw)</t>
  </si>
  <si>
    <t>Operating Revenue</t>
  </si>
  <si>
    <t>Pro-Forma Adjustments</t>
  </si>
  <si>
    <t>Total Pro-Forma Operating Expenses</t>
  </si>
  <si>
    <t>Production Revenue Requirement</t>
  </si>
  <si>
    <t>Transmission Revenue Requirement</t>
  </si>
  <si>
    <t>Distribution Revenue Requirement</t>
  </si>
  <si>
    <t>Production Revenue Requirement Percent</t>
  </si>
  <si>
    <t>Transmission Revenue Requirement Percent</t>
  </si>
  <si>
    <t>Distribution Revenue Requirement Percent</t>
  </si>
  <si>
    <t>Net Income</t>
  </si>
  <si>
    <t>High Load Factor - Secondary</t>
  </si>
  <si>
    <t>High Load Factor - Primary</t>
  </si>
  <si>
    <t>Combined Light &amp; Power - Secondary</t>
  </si>
  <si>
    <t>Combined Light &amp; Power - Primary</t>
  </si>
  <si>
    <t>General Service - Secondary</t>
  </si>
  <si>
    <t>General Service - Primary</t>
  </si>
  <si>
    <t>Residential - Rate RS</t>
  </si>
  <si>
    <t>Residential - Rate FERS</t>
  </si>
  <si>
    <t>LBSUB6</t>
  </si>
  <si>
    <t>Combined Light &amp; Power - Trans.</t>
  </si>
  <si>
    <t>LMP Time of Day - Primary</t>
  </si>
  <si>
    <t>LMP Time of Day - Transmission</t>
  </si>
  <si>
    <t>MP Time of Day - Primary</t>
  </si>
  <si>
    <t>MP Time of Day - Transmission</t>
  </si>
  <si>
    <t>All Electric Schools</t>
  </si>
  <si>
    <t>PLCSI</t>
  </si>
  <si>
    <t>PLSEC</t>
  </si>
  <si>
    <t>UPPPDB</t>
  </si>
  <si>
    <t>UPPPDI</t>
  </si>
  <si>
    <t>UPPPDP</t>
  </si>
  <si>
    <t>UPPPEB</t>
  </si>
  <si>
    <t>UPPPEI</t>
  </si>
  <si>
    <t>UPPPEP</t>
  </si>
  <si>
    <t>UPPPT</t>
  </si>
  <si>
    <t>UPTRB</t>
  </si>
  <si>
    <t>UPTRI</t>
  </si>
  <si>
    <t>UPTRP</t>
  </si>
  <si>
    <t>UPTRT</t>
  </si>
  <si>
    <t>UPDPS</t>
  </si>
  <si>
    <t>UPDSG</t>
  </si>
  <si>
    <t>UPDPLS</t>
  </si>
  <si>
    <t>UPDPLD</t>
  </si>
  <si>
    <t>UPDPLC</t>
  </si>
  <si>
    <t>UPDSLD</t>
  </si>
  <si>
    <t>UPDSLC</t>
  </si>
  <si>
    <t>UPDLT</t>
  </si>
  <si>
    <t>UPDLTD</t>
  </si>
  <si>
    <t>UPDLTC</t>
  </si>
  <si>
    <t>UPDLTT</t>
  </si>
  <si>
    <t>UPDSC</t>
  </si>
  <si>
    <t>UPDMC</t>
  </si>
  <si>
    <t>UPDSCL</t>
  </si>
  <si>
    <t>UPCAE</t>
  </si>
  <si>
    <t>UPCSI</t>
  </si>
  <si>
    <t>UPSEC</t>
  </si>
  <si>
    <t>UPT</t>
  </si>
  <si>
    <t>RBPPDB</t>
  </si>
  <si>
    <t>RBPPDI</t>
  </si>
  <si>
    <t>RBPPDP</t>
  </si>
  <si>
    <t>RBPPEB</t>
  </si>
  <si>
    <t>RBPPEI</t>
  </si>
  <si>
    <t>RBPPEP</t>
  </si>
  <si>
    <t>RBTRB</t>
  </si>
  <si>
    <t>RBTRI</t>
  </si>
  <si>
    <t>RBTRP</t>
  </si>
  <si>
    <t>runexh0</t>
  </si>
  <si>
    <t>runprt1</t>
  </si>
  <si>
    <t>/rfra21.e200~/rfrf1.i20~/wgpd/rfhb66~/rfhb68.b76~</t>
  </si>
  <si>
    <t>runprt2</t>
  </si>
  <si>
    <t>/rfra21.e200~/rfrf1.i20~/wgpd/rfhb66.b67~/rfhb69.b76~</t>
  </si>
  <si>
    <t>runprt3</t>
  </si>
  <si>
    <t>OM926</t>
  </si>
  <si>
    <t>Production Demand Base</t>
  </si>
  <si>
    <t>Transmission Demand Base</t>
  </si>
  <si>
    <t>OM928</t>
  </si>
  <si>
    <t>MISCELLANEOUS GENERAL EXPENSES</t>
  </si>
  <si>
    <t>OM930</t>
  </si>
  <si>
    <t>RENTS AND LEASES</t>
  </si>
  <si>
    <t>OM931</t>
  </si>
  <si>
    <t>MAINTENANCE OF GENERAL PLANT</t>
  </si>
  <si>
    <t>OM932</t>
  </si>
  <si>
    <t>Total Administrative and General Expense</t>
  </si>
  <si>
    <t>OMAG</t>
  </si>
  <si>
    <t>Regulatory Credits and Accretion Expenses</t>
  </si>
  <si>
    <t>Total Regulatory Credits and Accretion Expenses</t>
  </si>
  <si>
    <t xml:space="preserve">   Regulatory Credits and Accretion Expenses</t>
  </si>
  <si>
    <t>Eliminate mismatch in fuel cost recovery</t>
  </si>
  <si>
    <t>Remove ECR expenses</t>
  </si>
  <si>
    <t>Eliminate brokered sales expenses</t>
  </si>
  <si>
    <t>Labor adjustment</t>
  </si>
  <si>
    <t>Amortization of rate case expenses</t>
  </si>
  <si>
    <t xml:space="preserve">                        KENTUCKY UTILITIES COMPANY</t>
  </si>
  <si>
    <t xml:space="preserve"> KENTUCKY UTILITIES COMPANY</t>
  </si>
  <si>
    <t>/ppoml0~mr176~mt0~mb0~p66~</t>
  </si>
  <si>
    <t>/cfcmenu~fmenu~/rfha21.e200~/rfhf1.i20~{home}/wgpe</t>
  </si>
  <si>
    <t>/wgpd</t>
  </si>
  <si>
    <t>{branch restart16}</t>
  </si>
  <si>
    <t>pl</t>
  </si>
  <si>
    <t>mmenu1</t>
  </si>
  <si>
    <t>print</t>
  </si>
  <si>
    <t>{INDICATE "COPYING"}{bordersoff}{paneloff}{windowsoff}/wgpd</t>
  </si>
  <si>
    <t>TOTAL OPERATION &amp; MAINTENANCE</t>
  </si>
  <si>
    <t xml:space="preserve">TOTAL OPERATION </t>
  </si>
  <si>
    <t>TOTAL MAINTENANCE</t>
  </si>
  <si>
    <t>TOTAL OPERATION LESS FUEL AND PURCHASED POWER</t>
  </si>
  <si>
    <t>Curtailable Service Rider</t>
  </si>
  <si>
    <t xml:space="preserve"> PLANT COMPONENT</t>
  </si>
  <si>
    <t xml:space="preserve">  924-PROPERTY INSURANCE</t>
  </si>
  <si>
    <t xml:space="preserve">     TOTAL NET PLT COMPONENT</t>
  </si>
  <si>
    <t xml:space="preserve"> LABOR COMPONENT</t>
  </si>
  <si>
    <t xml:space="preserve">  920-ADMIN &amp; GENERAL EXP</t>
  </si>
  <si>
    <t xml:space="preserve">  921-OFFICE SUPPLIES &amp; EXP</t>
  </si>
  <si>
    <t xml:space="preserve">  922-ADMIN EXP TRANSF-CRED</t>
  </si>
  <si>
    <t xml:space="preserve">  923-OUTSIDE SERVICES</t>
  </si>
  <si>
    <t xml:space="preserve">  925-INJURIES &amp; DAMAGES</t>
  </si>
  <si>
    <t xml:space="preserve">  926-PENSIONS &amp; BENEFITS</t>
  </si>
  <si>
    <t xml:space="preserve">  926-PENSIONS &amp; BENES-DIR KY</t>
  </si>
  <si>
    <t xml:space="preserve">  926-PENSIONS &amp; BENES-DIR VAJ</t>
  </si>
  <si>
    <t xml:space="preserve">  926-PENSIONS &amp; BENES-DIR VNJ</t>
  </si>
  <si>
    <t xml:space="preserve">  926-PENSIONS &amp; BENES-DIR FERC</t>
  </si>
  <si>
    <t xml:space="preserve">  929-DUPLICATE CHARGES-CR</t>
  </si>
  <si>
    <t>Total 930</t>
  </si>
  <si>
    <t xml:space="preserve">  930-MISC GENERAL EXPENSE</t>
  </si>
  <si>
    <t xml:space="preserve">  931-RENTS</t>
  </si>
  <si>
    <t xml:space="preserve">  935-MAINTENANCE</t>
  </si>
  <si>
    <t xml:space="preserve">     TOTAL LABOR COMPONENT</t>
  </si>
  <si>
    <t xml:space="preserve">  928-REGULATORY COMMISSION</t>
  </si>
  <si>
    <t xml:space="preserve">    STATE JURISDICTION</t>
  </si>
  <si>
    <t xml:space="preserve">    FEDERAL JURISDICTION</t>
  </si>
  <si>
    <t xml:space="preserve">    VIRGINIA JURISDICTION</t>
  </si>
  <si>
    <t xml:space="preserve">    928 ALLOCATED</t>
  </si>
  <si>
    <t xml:space="preserve">      TOTAL ACCOUNT 928</t>
  </si>
  <si>
    <t xml:space="preserve">  927-FRANCHISE NJ VA</t>
  </si>
  <si>
    <t>TOTAL ADMINISTRATIVE &amp; GEN</t>
  </si>
  <si>
    <t>Fuel Exp FS</t>
  </si>
  <si>
    <t>Power Purch Exp FS</t>
  </si>
  <si>
    <t>Oth Op Exp FS</t>
  </si>
  <si>
    <t>Main Exp FS</t>
  </si>
  <si>
    <t>OMDM</t>
  </si>
  <si>
    <t>OMSUB</t>
  </si>
  <si>
    <t>Operation and Maintenance Expenses (Continued)</t>
  </si>
  <si>
    <t>Sub-Total Labor Exp</t>
  </si>
  <si>
    <t>Customer Accounts Expense</t>
  </si>
  <si>
    <t>SUPERVISION/CUSTOMER ACCTS</t>
  </si>
  <si>
    <t>OM901</t>
  </si>
  <si>
    <t>F009</t>
  </si>
  <si>
    <t>METER READING EXPENSES</t>
  </si>
  <si>
    <t>OM902</t>
  </si>
  <si>
    <t>OM903</t>
  </si>
  <si>
    <t>UNCOLLECTIBLE ACCOUNTS</t>
  </si>
  <si>
    <t>OM904</t>
  </si>
  <si>
    <t>Total Customer Accounts Expense</t>
  </si>
  <si>
    <t>OMCA</t>
  </si>
  <si>
    <t>Customer Service Expense</t>
  </si>
  <si>
    <t>OM907</t>
  </si>
  <si>
    <t>DUPLICATE CHARGES</t>
  </si>
  <si>
    <t>Remove off-system ECR revenues</t>
  </si>
  <si>
    <t>Year end adjustment</t>
  </si>
  <si>
    <t>{windowsoff}{paneloff}/wtc{home}{goto}spot1~{right 3}{down 10}/wtb{goto}spot6~{windowson}{panelon}</t>
  </si>
  <si>
    <t>runexh5</t>
  </si>
  <si>
    <t>{windowsoff}{paneloff}/wtc{home}{goto}spot1~{right 3}{down 10}/wtb{goto}spot7~{windowson}{panelon}</t>
  </si>
  <si>
    <t xml:space="preserve">  PSC ASSESSMENT-KY REVENUE</t>
  </si>
  <si>
    <t xml:space="preserve">  VA GROSS RECEIPTS TAX</t>
  </si>
  <si>
    <t xml:space="preserve">  UNEMPLOYMENT</t>
  </si>
  <si>
    <t xml:space="preserve">  FICA</t>
  </si>
  <si>
    <t xml:space="preserve">  MISCELLANEOUS</t>
  </si>
  <si>
    <t>TOTAL OTHER TAXES</t>
  </si>
  <si>
    <t>GAIN DISPOSITION OF ALLOWANCES</t>
  </si>
  <si>
    <t>Income Statement</t>
  </si>
  <si>
    <t>203(E) EXCESS</t>
  </si>
  <si>
    <t xml:space="preserve">  PRODUCTION PLANT</t>
  </si>
  <si>
    <t>Tax acct workpapers</t>
  </si>
  <si>
    <t xml:space="preserve">  TRANSMISSION PLANT</t>
  </si>
  <si>
    <t xml:space="preserve">    KENTUCKY SYSTEM PROPERTY</t>
  </si>
  <si>
    <t xml:space="preserve">    VIRGINIA PROPERTY</t>
  </si>
  <si>
    <t xml:space="preserve">  TOTAL TRANSMISSION PLANT</t>
  </si>
  <si>
    <t>INVESTMENT TAX CREDIT ADJ</t>
  </si>
  <si>
    <t>ITC BTL-No amortization</t>
  </si>
  <si>
    <t xml:space="preserve">  DISTRIBUTION - DIRECT</t>
  </si>
  <si>
    <t>TOTAL INVEST TAX CREDIT ADJ</t>
  </si>
  <si>
    <t>TOTAL EXP OTHER THAN INC TAX</t>
  </si>
  <si>
    <t>INCOME TAXES</t>
  </si>
  <si>
    <t>OPERATING INC BEFORE INC TAXES</t>
  </si>
  <si>
    <t>DEVELOPMENT OF FED INC TAX</t>
  </si>
  <si>
    <t xml:space="preserve"> ADDITIONS TO INCOME</t>
  </si>
  <si>
    <t xml:space="preserve"> TOTAL ADDITIONS</t>
  </si>
  <si>
    <t xml:space="preserve"> DEDUCTIONS FROM INCOME</t>
  </si>
  <si>
    <t xml:space="preserve">  INTEREST EXPENSE</t>
  </si>
  <si>
    <t xml:space="preserve">    LONG TERM DEBT OTHER</t>
  </si>
  <si>
    <t xml:space="preserve">    INT ON CUSTOMER DEPOSITS</t>
  </si>
  <si>
    <t xml:space="preserve">  902-METER READING</t>
  </si>
  <si>
    <t xml:space="preserve">  903-CUSTOMER RECORDS</t>
  </si>
  <si>
    <t xml:space="preserve">  904-UNCOLLECTIBLE ACCOUNTS</t>
  </si>
  <si>
    <t xml:space="preserve">  905-MISCELLANEOUS</t>
  </si>
  <si>
    <t>TOTAL CUSTOMER ACCOUNTS</t>
  </si>
  <si>
    <t>CUSTOMER SERVICES</t>
  </si>
  <si>
    <t xml:space="preserve">  907-SUPERVISION</t>
  </si>
  <si>
    <t xml:space="preserve">  908-CUSTOMER ASSISTANCE</t>
  </si>
  <si>
    <t xml:space="preserve">  909-INFORMATION &amp; INSTRUCT</t>
  </si>
  <si>
    <t xml:space="preserve">  910-MISCELLANEOUS</t>
  </si>
  <si>
    <t>TOTAL CUSTOMER SERVICE</t>
  </si>
  <si>
    <t>SALES EXPENSE</t>
  </si>
  <si>
    <t xml:space="preserve">  911-SUPERVISION</t>
  </si>
  <si>
    <t xml:space="preserve">  912-DEMONSTRATING &amp; SELLING</t>
  </si>
  <si>
    <t xml:space="preserve">  913-ADVERTISING</t>
  </si>
  <si>
    <t xml:space="preserve">  916-MISCELLANEOUS</t>
  </si>
  <si>
    <t>TOTAL SALES EXPENSE</t>
  </si>
  <si>
    <t>ADMINISTRATIVE &amp; GENERAL</t>
  </si>
  <si>
    <t>Total billed revenue per Billing Determinants</t>
  </si>
  <si>
    <t>OM585</t>
  </si>
  <si>
    <t>METER EXPENSES</t>
  </si>
  <si>
    <t>OM586</t>
  </si>
  <si>
    <t>CUSTOMER INSTALLATIONS EXPENSE</t>
  </si>
  <si>
    <t>OM587</t>
  </si>
  <si>
    <t>MISCELLANEOUS DISTRIBUTION EXP</t>
  </si>
  <si>
    <t>OM588</t>
  </si>
  <si>
    <t>RENTS</t>
  </si>
  <si>
    <t>OM589</t>
  </si>
  <si>
    <t>Total Distribution Operation Expense</t>
  </si>
  <si>
    <t>OMDO</t>
  </si>
  <si>
    <t>Distribution Maintenance Expense</t>
  </si>
  <si>
    <t>MAINTENANCE SUPERVISION AND EN</t>
  </si>
  <si>
    <t>OM590</t>
  </si>
  <si>
    <t>MAINTENANCE OF STATION EQUIPME</t>
  </si>
  <si>
    <t>OM592</t>
  </si>
  <si>
    <t>MAINTENANCE OF OVERHEAD LINES</t>
  </si>
  <si>
    <t>OM593</t>
  </si>
  <si>
    <t>MAINTENANCE OF UNDERGROUND LIN</t>
  </si>
  <si>
    <t>OM594</t>
  </si>
  <si>
    <t>MAINTENANCE OF LINE TRANSFORME</t>
  </si>
  <si>
    <t>OM595</t>
  </si>
  <si>
    <t>MAINTENANCE OF METERS</t>
  </si>
  <si>
    <t>OM597</t>
  </si>
  <si>
    <t>Total Distribution Maintenance Expense</t>
  </si>
  <si>
    <t xml:space="preserve">                      FERC COST OF SERVICE MODEL</t>
  </si>
  <si>
    <t>runexh2</t>
  </si>
  <si>
    <t>{menubranch subpage1}</t>
  </si>
  <si>
    <t>{menubranch subpage2}</t>
  </si>
  <si>
    <t>{menubranch subpage3}</t>
  </si>
  <si>
    <t>{menubranch subpage4}</t>
  </si>
  <si>
    <t>{menubranch subpage5}</t>
  </si>
  <si>
    <t>{menubranch subpage6}</t>
  </si>
  <si>
    <t>{menubranch subpage7}</t>
  </si>
  <si>
    <t>NAS</t>
  </si>
  <si>
    <t>AES</t>
  </si>
  <si>
    <t>Decorative Street Lighting</t>
  </si>
  <si>
    <t>Property Taxes</t>
  </si>
  <si>
    <t>PTAX</t>
  </si>
  <si>
    <t>OT</t>
  </si>
  <si>
    <t>INTLTD</t>
  </si>
  <si>
    <t>Total Other Expenses</t>
  </si>
  <si>
    <t>TOE</t>
  </si>
  <si>
    <t>Functional Vectors</t>
  </si>
  <si>
    <t>Poles, Towers and Fixtures</t>
  </si>
  <si>
    <t>Overhead Conductors and Devices</t>
  </si>
  <si>
    <t>Underground Conductors and Devices</t>
  </si>
  <si>
    <t>Line Transformers</t>
  </si>
  <si>
    <t>Services</t>
  </si>
  <si>
    <t>Street Lighting</t>
  </si>
  <si>
    <t>Meter Reading</t>
  </si>
  <si>
    <t>Billing</t>
  </si>
  <si>
    <t>Allocation</t>
  </si>
  <si>
    <t xml:space="preserve">  Demand</t>
  </si>
  <si>
    <t>E01</t>
  </si>
  <si>
    <t>PLPPT</t>
  </si>
  <si>
    <t xml:space="preserve">  Customer</t>
  </si>
  <si>
    <t>C02</t>
  </si>
  <si>
    <t>C03</t>
  </si>
  <si>
    <t>C04</t>
  </si>
  <si>
    <t>C05</t>
  </si>
  <si>
    <t>C06</t>
  </si>
  <si>
    <t>PLT</t>
  </si>
  <si>
    <t>NPT</t>
  </si>
  <si>
    <t>Net Cost Rate Base</t>
  </si>
  <si>
    <t>RBPPT</t>
  </si>
  <si>
    <t>RBT</t>
  </si>
  <si>
    <t>OMPPT</t>
  </si>
  <si>
    <t>OMT</t>
  </si>
  <si>
    <t>LBPPT</t>
  </si>
  <si>
    <t>LBT</t>
  </si>
  <si>
    <t>DPT</t>
  </si>
  <si>
    <t>PTT</t>
  </si>
  <si>
    <t>Other Taxes</t>
  </si>
  <si>
    <t>OTPPT</t>
  </si>
  <si>
    <t>OTT</t>
  </si>
  <si>
    <t>Operating Revenues</t>
  </si>
  <si>
    <t>REVUC</t>
  </si>
  <si>
    <t>Total Operating Revenues</t>
  </si>
  <si>
    <t>TOR</t>
  </si>
  <si>
    <t>Operating Expenses</t>
  </si>
  <si>
    <t xml:space="preserve">   Operation and Maintenance Expenses</t>
  </si>
  <si>
    <t xml:space="preserve">   Depreciation and Amortization Expenses</t>
  </si>
  <si>
    <t xml:space="preserve">   Property Taxes</t>
  </si>
  <si>
    <t xml:space="preserve">   Other Taxes</t>
  </si>
  <si>
    <t>Total Operating Expenses</t>
  </si>
  <si>
    <t>Rate of Return</t>
  </si>
  <si>
    <t>Purchase Power Demand</t>
  </si>
  <si>
    <t>Purchase Power Energy</t>
  </si>
  <si>
    <t>Energy Allocation Factors</t>
  </si>
  <si>
    <t>Energy Usage by Class</t>
  </si>
  <si>
    <t>Customer Allocation Factors</t>
  </si>
  <si>
    <t>Internally Generated Functional Vectors</t>
  </si>
  <si>
    <t>Total Operation and Maintenance Expenses (Labor)</t>
  </si>
  <si>
    <t>Total Steam Power Operation Expenses (Labor)</t>
  </si>
  <si>
    <t>Total Steam Power Generation Maintenance Expense (Labor)</t>
  </si>
  <si>
    <t>Total Hydraulic Power Operation Expenses (Labor)</t>
  </si>
  <si>
    <t>Total Hydraulic Power Generation Maint. Expense (Labor)</t>
  </si>
  <si>
    <t>Total Other Power Generation Expenses (Labor)</t>
  </si>
  <si>
    <t>Primary Distribution Plant -- Average Number of Customers</t>
  </si>
  <si>
    <t>Meter Costs -- Weighted Cost of Meters</t>
  </si>
  <si>
    <t>Lighting Systems -- Lighting Customers</t>
  </si>
  <si>
    <t>Meter Reading and Billing -- Weighted Cost</t>
  </si>
  <si>
    <t>Revenue</t>
  </si>
  <si>
    <t>Transmission</t>
  </si>
  <si>
    <t>P350</t>
  </si>
  <si>
    <t>Transmission Plant</t>
  </si>
  <si>
    <t>Intangible Plant</t>
  </si>
  <si>
    <t>Total Transmission Plant</t>
  </si>
  <si>
    <t>FRANCHISE AND CONSENTS</t>
  </si>
  <si>
    <t>ORGANIZATION</t>
  </si>
  <si>
    <t>P301</t>
  </si>
  <si>
    <t>P302</t>
  </si>
  <si>
    <t>COMPLETED CONSTR NOT CLASSIFIED</t>
  </si>
  <si>
    <t>P106</t>
  </si>
  <si>
    <t>Plant in Service (Continued)</t>
  </si>
  <si>
    <t xml:space="preserve">  Total Utility Plant</t>
  </si>
  <si>
    <t xml:space="preserve">  Total Deferred Debits</t>
  </si>
  <si>
    <t>Transmission Expenses</t>
  </si>
  <si>
    <t>STATION EXPENSES</t>
  </si>
  <si>
    <t>MAINTENACE SUPERVISION AND ENG</t>
  </si>
  <si>
    <t>OPERATION SUPERVISION AND ENG</t>
  </si>
  <si>
    <t>MAINT OF STATION EQUIPMENT</t>
  </si>
  <si>
    <t>MAINT OF OVERHEAD LINES</t>
  </si>
  <si>
    <t>Total Transmission Expenses</t>
  </si>
  <si>
    <t>OM582</t>
  </si>
  <si>
    <t>PURCHASED POWER</t>
  </si>
  <si>
    <t>MAINTENANCE OF ST LIGHTS &amp; SIG SYSTEMS</t>
  </si>
  <si>
    <t>OM596</t>
  </si>
  <si>
    <t>Total Distribution Operation and Maintenance Expenses</t>
  </si>
  <si>
    <t>Transmission and Distribution Expenses</t>
  </si>
  <si>
    <t>MAINTENANCE OF MISC DISTR PLANT</t>
  </si>
  <si>
    <t>SUPERVISION</t>
  </si>
  <si>
    <t>DUPLICATE CHARGES-CR</t>
  </si>
  <si>
    <t>OM929</t>
  </si>
  <si>
    <t>Total Cost of Service (O&amp;M + Other Expenses)</t>
  </si>
  <si>
    <t>PTRAN</t>
  </si>
  <si>
    <t>F011</t>
  </si>
  <si>
    <t>PT&amp;D</t>
  </si>
  <si>
    <t>ADEPREPA</t>
  </si>
  <si>
    <t>RWIP</t>
  </si>
  <si>
    <t>ADEPRTP</t>
  </si>
  <si>
    <t>M&amp;S</t>
  </si>
  <si>
    <t>OM555</t>
  </si>
  <si>
    <t>OTHER EXPENSES</t>
  </si>
  <si>
    <t>OM557</t>
  </si>
  <si>
    <t>TPP</t>
  </si>
  <si>
    <t>Purchased Power Expenses</t>
  </si>
  <si>
    <t>OM560</t>
  </si>
  <si>
    <t>OM561</t>
  </si>
  <si>
    <t>OM562</t>
  </si>
  <si>
    <t>OM563</t>
  </si>
  <si>
    <t>ACCT 303-SOFTWARE</t>
  </si>
  <si>
    <t>TOTAL PRODUCTION PLANT SYSTEM</t>
  </si>
  <si>
    <t>PRODSYS</t>
  </si>
  <si>
    <t>CWIP3</t>
  </si>
  <si>
    <t>CWIP4</t>
  </si>
  <si>
    <t>CWIP5</t>
  </si>
  <si>
    <t>Customers (Monthly Bills)</t>
  </si>
  <si>
    <t>Average Customers (Bills/12)</t>
  </si>
  <si>
    <t>Average Customers (Lighting = Lights)</t>
  </si>
  <si>
    <t>R01</t>
  </si>
  <si>
    <t>Cust01</t>
  </si>
  <si>
    <t>Cust04</t>
  </si>
  <si>
    <t>NCP</t>
  </si>
  <si>
    <t>Allocation Factors</t>
  </si>
  <si>
    <t>Total Operating Revenue -- Actual</t>
  </si>
  <si>
    <t>Pro-Forma Adjustments:</t>
  </si>
  <si>
    <t>Total Pro-Forma Operating Revenue</t>
  </si>
  <si>
    <t>WATER HEATER - HEAT PUMP PROGRAM</t>
  </si>
  <si>
    <t>OM913</t>
  </si>
  <si>
    <t>PLANT HELD FOR FUTURE USE</t>
  </si>
  <si>
    <t>P105</t>
  </si>
  <si>
    <t>Kwh</t>
  </si>
  <si>
    <t>Service Pension Cost</t>
  </si>
  <si>
    <t>PENSCOST</t>
  </si>
  <si>
    <t>Average</t>
  </si>
  <si>
    <t>Customers</t>
  </si>
  <si>
    <t>Cost</t>
  </si>
  <si>
    <t xml:space="preserve">Distribution Customer </t>
  </si>
  <si>
    <t>Distribution Customer (Per Customer Per Month)</t>
  </si>
  <si>
    <t>Distribution Customer Margin (Per Customer Per Month)</t>
  </si>
  <si>
    <t>Total Distribution Customer (Per Customer Per Month)</t>
  </si>
  <si>
    <t>Winter CP Annual Load Factor</t>
  </si>
  <si>
    <t>NCP Annual Load Factor</t>
  </si>
  <si>
    <t>khW/Customer</t>
  </si>
  <si>
    <t xml:space="preserve">  Specific Assignment of Curtailable Service Rider Avoided Cost</t>
  </si>
  <si>
    <t>CSR Avoided Cost</t>
  </si>
  <si>
    <t>Interruptible Demands</t>
  </si>
  <si>
    <t>Avoided Cost per kW</t>
  </si>
  <si>
    <t xml:space="preserve">Avoided Cost </t>
  </si>
  <si>
    <t>OMLF</t>
  </si>
  <si>
    <t>TOT OTHER MAINTENANCE LABOR</t>
  </si>
  <si>
    <t>LABOTHMN</t>
  </si>
  <si>
    <t>TRANSM OPER EXP 562-567</t>
  </si>
  <si>
    <t>TRANSM MAINT EXP 569-573</t>
  </si>
  <si>
    <t>TOT TRANSM OPERATIONS LABOR</t>
  </si>
  <si>
    <t>LABTROP</t>
  </si>
  <si>
    <t>TOT TRANSM MAINTENANCE LABOR</t>
  </si>
  <si>
    <t>LABTRMN</t>
  </si>
  <si>
    <t>DISTR OPER EXP 582-589</t>
  </si>
  <si>
    <t>AFUDC</t>
  </si>
  <si>
    <t>Income (Loss) from Equity Investments</t>
  </si>
  <si>
    <t>Non-Operating Margins - Other</t>
  </si>
  <si>
    <t>Generation and Transmission Capital Credits</t>
  </si>
  <si>
    <t>Other Capital Credits and Patronage Dividends</t>
  </si>
  <si>
    <t>Extraordinary Items</t>
  </si>
  <si>
    <t>Long Term Debt Service Requirements</t>
  </si>
  <si>
    <t>SCP</t>
  </si>
  <si>
    <t>WCP</t>
  </si>
  <si>
    <t>Sum of</t>
  </si>
  <si>
    <t>Individual NCP</t>
  </si>
  <si>
    <t>Income Taxes</t>
  </si>
  <si>
    <t>DISTR MAINT EXP 591-598</t>
  </si>
  <si>
    <t>TOT DISTR OPERATIONS LABOR</t>
  </si>
  <si>
    <t>LABDISOP</t>
  </si>
  <si>
    <t>TOT DISTR MAINTENANCE LABOR</t>
  </si>
  <si>
    <t>LABDISMN</t>
  </si>
  <si>
    <t>CUST ACCT EXP 902, 903 &amp; 905</t>
  </si>
  <si>
    <t>EXP9025</t>
  </si>
  <si>
    <t>TOTAL CUST ACCOUNTS LABOR</t>
  </si>
  <si>
    <t>LABCA</t>
  </si>
  <si>
    <t>CUST SERVICES &amp; SALES EXP</t>
  </si>
  <si>
    <t>EXP9080</t>
  </si>
  <si>
    <t>TOTAL CUST SERVICES LABOR</t>
  </si>
  <si>
    <t>LABCS</t>
  </si>
  <si>
    <t>SALES EXPENSE 912-916</t>
  </si>
  <si>
    <t>TOTAL SALES EXP LABOR</t>
  </si>
  <si>
    <t>LABSA</t>
  </si>
  <si>
    <t>TOT ADMINISTRATIVE &amp; GEN EXP</t>
  </si>
  <si>
    <t>A_GEXP</t>
  </si>
  <si>
    <t>ACCT 930-EPRI &amp; ADVERTISING</t>
  </si>
  <si>
    <t>EXP930A</t>
  </si>
  <si>
    <t>TOTAL CUSTOMER SERVICES EXP</t>
  </si>
  <si>
    <t>CUSTSER</t>
  </si>
  <si>
    <t>F027</t>
  </si>
  <si>
    <t>REGULATORY COMMISSION FEES</t>
  </si>
  <si>
    <t>O&amp;M Customer Allocators</t>
  </si>
  <si>
    <t>Plant Customer Allocators</t>
  </si>
  <si>
    <t>Year End Customers</t>
  </si>
  <si>
    <t>Year End Customers (Lighting = Lights)</t>
  </si>
  <si>
    <t>Weighted Year End Customers (Lighting =9 Lights per Cust)</t>
  </si>
  <si>
    <t xml:space="preserve">Year End Customers </t>
  </si>
  <si>
    <t>Year End Customers (Lighting = 9 Lights per Cust)</t>
  </si>
  <si>
    <t>Year End Secondary Customers</t>
  </si>
  <si>
    <t>Year End Primary Customers</t>
  </si>
  <si>
    <t>YECust05</t>
  </si>
  <si>
    <t>YECust04</t>
  </si>
  <si>
    <t>YECust01</t>
  </si>
  <si>
    <t>YECust06</t>
  </si>
  <si>
    <t>YECust07</t>
  </si>
  <si>
    <t>YECust08</t>
  </si>
  <si>
    <t>Cost of Service Summary -- Unadjusted</t>
  </si>
  <si>
    <t>State Taxable Income</t>
  </si>
  <si>
    <t>State Tax Rate</t>
  </si>
  <si>
    <t>Provision Before Kentucky Income Taxes</t>
  </si>
  <si>
    <t>Kentucky Income Taxes</t>
  </si>
  <si>
    <t>STI</t>
  </si>
  <si>
    <t>STR</t>
  </si>
  <si>
    <t>Net Provision for State Income Taxes</t>
  </si>
  <si>
    <t>SIT</t>
  </si>
  <si>
    <t xml:space="preserve">  State Income Tax</t>
  </si>
  <si>
    <t>Federal Taxable Income</t>
  </si>
  <si>
    <t>Federal Tax Rate</t>
  </si>
  <si>
    <t>Provision Before ITC, DIT, and Environmental Tax</t>
  </si>
  <si>
    <t>Amortization of Investment Tax Credit</t>
  </si>
  <si>
    <t>Amortization of Deferred Income Taxes</t>
  </si>
  <si>
    <t>Environmental Tax</t>
  </si>
  <si>
    <t>Adjustment to Reflect Depreciation Reserve</t>
  </si>
  <si>
    <t>Cash Working Capital</t>
  </si>
  <si>
    <t xml:space="preserve">  Allocation of Curtailable Service Rider Credits</t>
  </si>
  <si>
    <t>Interruptible Credit Allocator</t>
  </si>
  <si>
    <t>INTCRE</t>
  </si>
  <si>
    <t>ok</t>
  </si>
  <si>
    <t>Expenses After Adjustments And Proposed Increase</t>
  </si>
  <si>
    <t>Base Rate Revenue</t>
  </si>
  <si>
    <t>Operation and Maintenance Less Fuel</t>
  </si>
  <si>
    <t>MAINTENANCE OF STRUCTURES</t>
  </si>
  <si>
    <t>MAINTENANCE SUPERVISION &amp; ENGINEERING</t>
  </si>
  <si>
    <t>MISO DAY 1&amp;2 EXPENSE</t>
  </si>
  <si>
    <t xml:space="preserve">  Distribution Plant</t>
  </si>
  <si>
    <t xml:space="preserve"> MATERIALS &amp; SUPPLIES</t>
  </si>
  <si>
    <t xml:space="preserve">  FUEL STOCK</t>
  </si>
  <si>
    <t>M&amp;S 13mo avg worksheet</t>
  </si>
  <si>
    <t xml:space="preserve">  PLANT MATERIAL &amp; SUPPLIES</t>
  </si>
  <si>
    <t xml:space="preserve">    PRODUCTION</t>
  </si>
  <si>
    <t xml:space="preserve">    TRANSMISSION</t>
  </si>
  <si>
    <t xml:space="preserve">    GENERAL</t>
  </si>
  <si>
    <t xml:space="preserve">    STORES UNDISTRIBUTED</t>
  </si>
  <si>
    <t xml:space="preserve">  TOTAL PLT MAT &amp; SUPPLIES</t>
  </si>
  <si>
    <t xml:space="preserve"> TOTAL MATERIALS &amp; SUPPLIES</t>
  </si>
  <si>
    <t xml:space="preserve"> PREPAYMENTS</t>
  </si>
  <si>
    <t xml:space="preserve">  PUBLIC SERVICE COMM TAX</t>
  </si>
  <si>
    <t xml:space="preserve"> TOTAL PREPAYMENTS</t>
  </si>
  <si>
    <t xml:space="preserve"> WORKING CASH - CALC BY JURIS</t>
  </si>
  <si>
    <t>TOTAL WORKING CAPITAL</t>
  </si>
  <si>
    <t>EMISSION ALLOWANCES</t>
  </si>
  <si>
    <t>Balance Sheet</t>
  </si>
  <si>
    <t>TOTAL ADDITIONS TO NET PLANT</t>
  </si>
  <si>
    <t>DEDUCTIONS FROM NET PLANT</t>
  </si>
  <si>
    <t>ACCUMULATED DEFERRED INC TAX</t>
  </si>
  <si>
    <t>Tax Acct workpapers</t>
  </si>
  <si>
    <t xml:space="preserve">  VIRGINIA PROPERTY-OTHER</t>
  </si>
  <si>
    <t xml:space="preserve"> DISTRIBUTION - VA</t>
  </si>
  <si>
    <t xml:space="preserve"> DISTRIBUTION PLT KY,FERC &amp; TN</t>
  </si>
  <si>
    <t>TOTAL DEFERRED INCOME TAX</t>
  </si>
  <si>
    <t>ACCUM DEFER INVEST TAX CREDITS</t>
  </si>
  <si>
    <t xml:space="preserve">  PRODUCTION</t>
  </si>
  <si>
    <t xml:space="preserve">  TRANSMISSION</t>
  </si>
  <si>
    <t xml:space="preserve">  TRANSMISSION VA</t>
  </si>
  <si>
    <t xml:space="preserve">  DISTRIBUTION - VA</t>
  </si>
  <si>
    <t xml:space="preserve">  DISTRIBUTION PLT KY,FERC &amp; TN</t>
  </si>
  <si>
    <t xml:space="preserve">  GENERAL</t>
  </si>
  <si>
    <t>TOTAL DEFERRED INVEST CREDIT</t>
  </si>
  <si>
    <t>Revenue Acctg COS Info (Virginia Only)</t>
  </si>
  <si>
    <t>DEFERRED FUEL-VIRGINIA</t>
  </si>
  <si>
    <t>Deferred Fuel workpaper (Virginia Only) - Fuel Monitoring System - FMS Reports</t>
  </si>
  <si>
    <t>TOTAL DEDUCTIONS FROM NET PLT</t>
  </si>
  <si>
    <t>SALES OF ELECTRICITY</t>
  </si>
  <si>
    <t>OTHER OPERATING REVENUES</t>
  </si>
  <si>
    <t>TOTAL OTHER REVENUES</t>
  </si>
  <si>
    <t>F/S Total OP Revenues</t>
  </si>
  <si>
    <t>TOTAL OPERATING REVENUES</t>
  </si>
  <si>
    <t>OPERATION &amp; MAINTENANCE EXP</t>
  </si>
  <si>
    <t>PRODUCTION EXPENSE-STEAM</t>
  </si>
  <si>
    <t xml:space="preserve">  500-SUPERV &amp; ENGINEERING</t>
  </si>
  <si>
    <t xml:space="preserve">  501-FUEL</t>
  </si>
  <si>
    <t xml:space="preserve">  501-I/S SALES &amp; PARIS VAR EXP.</t>
  </si>
  <si>
    <t xml:space="preserve">  502 &amp; 504-STEAM EXPENSES</t>
  </si>
  <si>
    <t xml:space="preserve">  505-ELECTRIC EXPENSES</t>
  </si>
  <si>
    <t xml:space="preserve">  506-MISC STEAM POWER EXP</t>
  </si>
  <si>
    <t xml:space="preserve">  507 &amp; 509 - RENTS &amp; ALLOWANCE</t>
  </si>
  <si>
    <t xml:space="preserve">    TOTAL STEAM OPERATIONS</t>
  </si>
  <si>
    <t xml:space="preserve">  510-SUPERV &amp; ENGINEERING</t>
  </si>
  <si>
    <t xml:space="preserve">  511-STRUCTURES</t>
  </si>
  <si>
    <t xml:space="preserve">  512-BOILER PLANT</t>
  </si>
  <si>
    <t xml:space="preserve">  513-ELECTRIC PLANT</t>
  </si>
  <si>
    <t xml:space="preserve">  514-MISC STEAM PLANT</t>
  </si>
  <si>
    <t xml:space="preserve">    TOTAL STEAM MAINTENANCE</t>
  </si>
  <si>
    <t>TOTAL STEAM GENERATION</t>
  </si>
  <si>
    <t>PRODUCTION EXPENSE-HYDRO</t>
  </si>
  <si>
    <t xml:space="preserve">  535-SUPERV &amp; ENGINEERING</t>
  </si>
  <si>
    <t xml:space="preserve">  536-WATER FOR POWER</t>
  </si>
  <si>
    <t xml:space="preserve">  537-HYDRAULIC EXPENSES</t>
  </si>
  <si>
    <t xml:space="preserve">  538-ELECTRIC EXPENSES</t>
  </si>
  <si>
    <t xml:space="preserve">  539-MISC HYDR POWER GENER</t>
  </si>
  <si>
    <t xml:space="preserve">  540-RENTS</t>
  </si>
  <si>
    <t xml:space="preserve">    TOTAL HYDRO OPERATIONS</t>
  </si>
  <si>
    <t xml:space="preserve">  541-SUPERV &amp; ENGINEERING</t>
  </si>
  <si>
    <t>RBTRT</t>
  </si>
  <si>
    <t>RBDPS</t>
  </si>
  <si>
    <t>RBDSG</t>
  </si>
  <si>
    <t>RBDPLS</t>
  </si>
  <si>
    <t>RBDPLD</t>
  </si>
  <si>
    <t>RBDPLC</t>
  </si>
  <si>
    <t>RBDSLD</t>
  </si>
  <si>
    <t>RBDSLC</t>
  </si>
  <si>
    <t>RBDLT</t>
  </si>
  <si>
    <t>RBDLTD</t>
  </si>
  <si>
    <t>RBDLTC</t>
  </si>
  <si>
    <t>RBDLTT</t>
  </si>
  <si>
    <t>RBDSC</t>
  </si>
  <si>
    <t>RBDMC</t>
  </si>
  <si>
    <t>RBDSCL</t>
  </si>
  <si>
    <t>RBCAE</t>
  </si>
  <si>
    <t>RBCSI</t>
  </si>
  <si>
    <t>RBSEC</t>
  </si>
  <si>
    <t>OMPPDB</t>
  </si>
  <si>
    <t>OMPPDI</t>
  </si>
  <si>
    <t>OMPPDP</t>
  </si>
  <si>
    <t>OMPPEB</t>
  </si>
  <si>
    <t xml:space="preserve">    RESERVE FOR DEF TAXES</t>
  </si>
  <si>
    <t xml:space="preserve">    RESERVE FOR ITC</t>
  </si>
  <si>
    <t xml:space="preserve">    CUSTOMER ADVANCES</t>
  </si>
  <si>
    <t xml:space="preserve">    DEFERRED FUEL-VIRGINIA</t>
  </si>
  <si>
    <t>MISC. HYDRAULIC POWER EXPENSES</t>
  </si>
  <si>
    <t>WestVaCo</t>
  </si>
  <si>
    <t>Cmbn. Off-Peak Water Heating</t>
  </si>
  <si>
    <t>FROM PREVIOUS RATE CASE</t>
  </si>
  <si>
    <t>(From Bill Det Tab)</t>
  </si>
  <si>
    <t>Avg No. Customers</t>
  </si>
  <si>
    <t>13-mo Avg</t>
  </si>
  <si>
    <t>OMPPEI</t>
  </si>
  <si>
    <t>OMPPEP</t>
  </si>
  <si>
    <t>OMTRB</t>
  </si>
  <si>
    <t>OMTRI</t>
  </si>
  <si>
    <t>OMTRP</t>
  </si>
  <si>
    <t>OMTRT</t>
  </si>
  <si>
    <t>OMDPS</t>
  </si>
  <si>
    <t>OMDSG</t>
  </si>
  <si>
    <t>OMDPLS</t>
  </si>
  <si>
    <t>OMDPLD</t>
  </si>
  <si>
    <t>OMDPLC</t>
  </si>
  <si>
    <t>OMDSLD</t>
  </si>
  <si>
    <t>OMDSLC</t>
  </si>
  <si>
    <t>OMDLT</t>
  </si>
  <si>
    <t>OMDLTD</t>
  </si>
  <si>
    <t>OMDLTC</t>
  </si>
  <si>
    <t>OMDLTT</t>
  </si>
  <si>
    <t>OMDSC</t>
  </si>
  <si>
    <t>OMDMC</t>
  </si>
  <si>
    <t>OMDSCL</t>
  </si>
  <si>
    <t>OMCAE</t>
  </si>
  <si>
    <t>OMCSI</t>
  </si>
  <si>
    <t>OMSEC</t>
  </si>
  <si>
    <t>LBPPDB</t>
  </si>
  <si>
    <t>LBPPDI</t>
  </si>
  <si>
    <t>LBPPDP</t>
  </si>
  <si>
    <t>All Electric School</t>
  </si>
  <si>
    <t>ADITDP</t>
  </si>
  <si>
    <t>ADITGP</t>
  </si>
  <si>
    <t>Accumulated Deferred Income Tax</t>
  </si>
  <si>
    <t xml:space="preserve">    Total Production Plant</t>
  </si>
  <si>
    <t xml:space="preserve">    Total Transmission Plant</t>
  </si>
  <si>
    <t xml:space="preserve">    Total Distribution Plant</t>
  </si>
  <si>
    <t xml:space="preserve">    Total General Plant</t>
  </si>
  <si>
    <t>ADITT</t>
  </si>
  <si>
    <t>Total Accumulated Deferred Income Tax</t>
  </si>
  <si>
    <t>ADITCP</t>
  </si>
  <si>
    <t>ADITCTL</t>
  </si>
  <si>
    <t>ADITCG</t>
  </si>
  <si>
    <t>ADITCDKY</t>
  </si>
  <si>
    <t>ADITCDVA</t>
  </si>
  <si>
    <t>ADITCT</t>
  </si>
  <si>
    <t>ADITCTVA</t>
  </si>
  <si>
    <t>Accumulated Deferred Investment Tax Credits</t>
  </si>
  <si>
    <t xml:space="preserve">  Production</t>
  </si>
  <si>
    <t xml:space="preserve">  Transmission</t>
  </si>
  <si>
    <t xml:space="preserve">  Transmission VA</t>
  </si>
  <si>
    <t xml:space="preserve">  Distribution VA</t>
  </si>
  <si>
    <t>Total Accum. Deferred Investment Tax Credits</t>
  </si>
  <si>
    <t xml:space="preserve">  Distribution Plant KY,FERC &amp; TN</t>
  </si>
  <si>
    <t>Adjusted Net Cost Rate Base</t>
  </si>
  <si>
    <t>Gain Disposition of Allowances</t>
  </si>
  <si>
    <t>F017</t>
  </si>
  <si>
    <t>LBSUB1</t>
  </si>
  <si>
    <t>PROVAR</t>
  </si>
  <si>
    <t>PROFIX</t>
  </si>
  <si>
    <t>LBSUB3</t>
  </si>
  <si>
    <t>LBSUB4</t>
  </si>
  <si>
    <t>LBSUB5</t>
  </si>
  <si>
    <t>LBTRAN</t>
  </si>
  <si>
    <t>F025</t>
  </si>
  <si>
    <t>F026</t>
  </si>
  <si>
    <t>LBSUB7</t>
  </si>
  <si>
    <t>F019</t>
  </si>
  <si>
    <t>F020</t>
  </si>
  <si>
    <t>F021</t>
  </si>
  <si>
    <t>F022</t>
  </si>
  <si>
    <t>F023</t>
  </si>
  <si>
    <t>F024</t>
  </si>
  <si>
    <t>Production Plant</t>
  </si>
  <si>
    <t>Provar</t>
  </si>
  <si>
    <t>Fuel</t>
  </si>
  <si>
    <t>F018</t>
  </si>
  <si>
    <t>Steam Generation Operation Labor</t>
  </si>
  <si>
    <t>Steam Generation Maintenance Labor</t>
  </si>
  <si>
    <t>Hydraulic Generation Operation Labor</t>
  </si>
  <si>
    <t>Hydraulic Generation Maintenance Labor</t>
  </si>
  <si>
    <t>Distribution Operation Labor</t>
  </si>
  <si>
    <t>Distribution Maintenance Labor</t>
  </si>
  <si>
    <t>SICD</t>
  </si>
  <si>
    <t>Sum of the Individual Customer Demands (Secondary)</t>
  </si>
  <si>
    <t>LB591</t>
  </si>
  <si>
    <t>OM575</t>
  </si>
  <si>
    <t xml:space="preserve">  901-SUPERVISION</t>
  </si>
  <si>
    <t>DISTRIBUTION EXPENSES</t>
  </si>
  <si>
    <t xml:space="preserve">  580-SUPERV &amp; ENGINEERING</t>
  </si>
  <si>
    <t xml:space="preserve">  581-DIST SYSTEM CONTROL</t>
  </si>
  <si>
    <t xml:space="preserve">  582-STATION EXPENSES</t>
  </si>
  <si>
    <t xml:space="preserve">  583-OVERHEAD LINES</t>
  </si>
  <si>
    <t xml:space="preserve">  584-UNDERGROUND LINES</t>
  </si>
  <si>
    <t xml:space="preserve">  585-STREET LIGHTING</t>
  </si>
  <si>
    <t xml:space="preserve">  586-METERS</t>
  </si>
  <si>
    <t xml:space="preserve">  587-CUSTOMER INSTALLATIONS</t>
  </si>
  <si>
    <t xml:space="preserve">  588-MISCELLANEOUS EXP</t>
  </si>
  <si>
    <t xml:space="preserve">  589-RENTS</t>
  </si>
  <si>
    <t xml:space="preserve">    TOTAL DISTR OPERATIONS</t>
  </si>
  <si>
    <t xml:space="preserve">  590-SUPERV &amp; ENGINEERING</t>
  </si>
  <si>
    <t xml:space="preserve">  591-MAINT OF STRUCTURES</t>
  </si>
  <si>
    <t xml:space="preserve">  592-MAINT OF STATION EQUIP</t>
  </si>
  <si>
    <t xml:space="preserve">  593-MAINT OF OH LINES</t>
  </si>
  <si>
    <t xml:space="preserve">  594-MAINT OF UG LINES</t>
  </si>
  <si>
    <t xml:space="preserve">  595-MAINT OF LINE TRANSF</t>
  </si>
  <si>
    <t xml:space="preserve">  596-MAINT OF ST LIGHTING</t>
  </si>
  <si>
    <t xml:space="preserve">  597-MAINT OF METERS</t>
  </si>
  <si>
    <t xml:space="preserve">  598-MISCELLANEOUS</t>
  </si>
  <si>
    <t xml:space="preserve">    TOTAL DISTR MAINTENANCE</t>
  </si>
  <si>
    <t>TOTAL DISTRIBUTION EXPENSES</t>
  </si>
  <si>
    <t>CUSTOMER ACCOUNTING EXPENSES</t>
  </si>
  <si>
    <t>Other Customer Accounting Expenses as Percentage of Total</t>
  </si>
  <si>
    <t>Weighted Average Customers (Lighting =9 Lights per Cust)</t>
  </si>
  <si>
    <t>Average Customers (Lighting = 9 Lights per Cust)</t>
  </si>
  <si>
    <t>Average Secondary Customers</t>
  </si>
  <si>
    <t>Average Primary Customers</t>
  </si>
  <si>
    <t>Demand Allocators</t>
  </si>
  <si>
    <t>Working Capital</t>
  </si>
  <si>
    <t>Operation and Maintenance Expenses</t>
  </si>
  <si>
    <t>CWC</t>
  </si>
  <si>
    <t>OMLPP</t>
  </si>
  <si>
    <t>Prepayments</t>
  </si>
  <si>
    <t>PREPAY</t>
  </si>
  <si>
    <t xml:space="preserve">  Total Working Capital</t>
  </si>
  <si>
    <t>TWC</t>
  </si>
  <si>
    <t>CSTDEP</t>
  </si>
  <si>
    <t>Net Rate Base</t>
  </si>
  <si>
    <t>RB</t>
  </si>
  <si>
    <t>Purchased Power</t>
  </si>
  <si>
    <t>OMPP</t>
  </si>
  <si>
    <t>Distribution Operation Expense</t>
  </si>
  <si>
    <t>OPERATION SUPERVISION AND ENGI</t>
  </si>
  <si>
    <t>OM580</t>
  </si>
  <si>
    <t>LOAD DISPATCHING</t>
  </si>
  <si>
    <t>OM581</t>
  </si>
  <si>
    <t>OVERHEAD LINE EXPENSES</t>
  </si>
  <si>
    <t>OM583</t>
  </si>
  <si>
    <t>UNDERGROUND LINE EXPENSES</t>
  </si>
  <si>
    <t>OM584</t>
  </si>
  <si>
    <t>STREET LIGHTING EXPENSE</t>
  </si>
  <si>
    <t>Accrued revenues not included in billing determinants</t>
  </si>
  <si>
    <t>Unbilled revenues not included in billing determinants</t>
  </si>
  <si>
    <t>Revenue per Jurisdictional Separation Study</t>
  </si>
  <si>
    <t>{menubranch subpage8}</t>
  </si>
  <si>
    <t>{menubranch subpage9}</t>
  </si>
  <si>
    <t>KUFERC</t>
  </si>
  <si>
    <t>{branch branch47}</t>
  </si>
  <si>
    <t>{branch branch48}</t>
  </si>
  <si>
    <t>using</t>
  </si>
  <si>
    <t>emenu</t>
  </si>
  <si>
    <t>mmenu4</t>
  </si>
  <si>
    <t>exit</t>
  </si>
  <si>
    <t>F</t>
  </si>
  <si>
    <t>{branch restarts1}</t>
  </si>
  <si>
    <t>{branch restarts2}</t>
  </si>
  <si>
    <t>{branch restarts3}</t>
  </si>
  <si>
    <t>{branch restarts4}</t>
  </si>
  <si>
    <t>{branch restarts5}</t>
  </si>
  <si>
    <t>{branch restarts6}</t>
  </si>
  <si>
    <t>{branch restarts7}</t>
  </si>
  <si>
    <t>{branch restarts8}</t>
  </si>
  <si>
    <t>{branch restarts9}</t>
  </si>
  <si>
    <t>~r</t>
  </si>
  <si>
    <t>Recalculate Total Company Worksheet.</t>
  </si>
  <si>
    <t>Do Not Recalculate Total Company Woksheet.</t>
  </si>
  <si>
    <t>branch47</t>
  </si>
  <si>
    <t>{let macro34,macro35}~</t>
  </si>
  <si>
    <t>FERCDIST</t>
  </si>
  <si>
    <t xml:space="preserve">            Management Applications Consulting Inc.</t>
  </si>
  <si>
    <t>start</t>
  </si>
  <si>
    <t>mmenu5</t>
  </si>
  <si>
    <t>capacity</t>
  </si>
  <si>
    <t>runexh3</t>
  </si>
  <si>
    <t>Save Distribution Component Worksheet File Under the Name - FERCDIST</t>
  </si>
  <si>
    <t>Save Distribution Component Worksheet File Under a Name Other Than - FERCDIST</t>
  </si>
  <si>
    <t xml:space="preserve">                         Version 6.1</t>
  </si>
  <si>
    <t>upit</t>
  </si>
  <si>
    <t>mmenu3</t>
  </si>
  <si>
    <t>util</t>
  </si>
  <si>
    <t>{RECALC cur4}{GOTO}</t>
  </si>
  <si>
    <t>Production Summer Demand Allocator</t>
  </si>
  <si>
    <t>Unadjusted Production Allocation</t>
  </si>
  <si>
    <t>Distribution Line Transformers</t>
  </si>
  <si>
    <t xml:space="preserve">  Primary Specific</t>
  </si>
  <si>
    <t xml:space="preserve">  Primary Demand</t>
  </si>
  <si>
    <t xml:space="preserve">  Primary Customer</t>
  </si>
  <si>
    <t xml:space="preserve">  Secondary Demand</t>
  </si>
  <si>
    <t xml:space="preserve">  Secondary Customer</t>
  </si>
  <si>
    <t>SFRS</t>
  </si>
  <si>
    <t xml:space="preserve">  Brokered Sales</t>
  </si>
  <si>
    <t xml:space="preserve">  Unbilled Revenue</t>
  </si>
  <si>
    <t>UNBREV</t>
  </si>
  <si>
    <t>Depreciation Exp FS</t>
  </si>
  <si>
    <t>Amortization Exp FS</t>
  </si>
  <si>
    <t>TOTAL DEPREC &amp; AMORT EXP</t>
  </si>
  <si>
    <t>REGULATORY CREDITS AND ACCRETION</t>
  </si>
  <si>
    <t>REGULATORY CREDITS</t>
  </si>
  <si>
    <t>Pulled off Trial Balance - Acct 407</t>
  </si>
  <si>
    <t xml:space="preserve">  KENTUCKY DISTRIBUTION PROPERTY</t>
  </si>
  <si>
    <t xml:space="preserve">  VIRGINIA DISTRIBUTION PROPERTY</t>
  </si>
  <si>
    <t>TOTAL REGULATORY CREDITS</t>
  </si>
  <si>
    <t>ACCRETION</t>
  </si>
  <si>
    <t>Regulatory Credits FS</t>
  </si>
  <si>
    <t>Accretion Exp FS</t>
  </si>
  <si>
    <t>TOTAL ACCRETION EXPENSE</t>
  </si>
  <si>
    <t>OTHER TAXES &amp; OTHER EXPENSES</t>
  </si>
  <si>
    <t>TAXES OTHER THAN INCOME TAX</t>
  </si>
  <si>
    <t xml:space="preserve">  PROPERTY TAXES</t>
  </si>
  <si>
    <t xml:space="preserve"> DISTRIBUTION PLANT</t>
  </si>
  <si>
    <t>Total Operation and Maintenance Expenses</t>
  </si>
  <si>
    <t>TOM</t>
  </si>
  <si>
    <t>Labor Expenses</t>
  </si>
  <si>
    <t>Other Expenses</t>
  </si>
  <si>
    <t>Depreciation Expenses</t>
  </si>
  <si>
    <t>Total Depreciation Expense</t>
  </si>
  <si>
    <t>TDEPR</t>
  </si>
  <si>
    <t>FACRI</t>
  </si>
  <si>
    <t>ECRRI</t>
  </si>
  <si>
    <t>DSMREV</t>
  </si>
  <si>
    <t>Storm Damage Allocator</t>
  </si>
  <si>
    <t>Distribution O&amp;M</t>
  </si>
  <si>
    <t>SDALL</t>
  </si>
  <si>
    <t>Lighting Kwh</t>
  </si>
  <si>
    <t>Residential Kwh</t>
  </si>
  <si>
    <t>Residential Customers</t>
  </si>
  <si>
    <t>Avg Kwh per Customer</t>
  </si>
  <si>
    <t>Equivalent customers</t>
  </si>
  <si>
    <t>Number of Lights</t>
  </si>
  <si>
    <t>Lights per customer</t>
  </si>
  <si>
    <t>Lighting</t>
  </si>
  <si>
    <t>C08</t>
  </si>
  <si>
    <t>Meter Reading Expenses</t>
  </si>
  <si>
    <t>Total Customer Accounting</t>
  </si>
  <si>
    <t>Meter Reading Expenses as Percentage of Total</t>
  </si>
  <si>
    <t>Difference</t>
  </si>
  <si>
    <t>SECTION BELOW NOT USED IN FINAL STUDY; HIDE ROWS WHEN READY TO PRINT!!!</t>
  </si>
  <si>
    <t>Number of</t>
  </si>
  <si>
    <t>NOT PART OF FILED EXHIBITS -- HIDE ROWS WHEN PRINTING FOR FILING PURPOSES!!</t>
  </si>
  <si>
    <t>NOT USED IN FILING EXHIBITS -- DO NOT PRINT</t>
  </si>
  <si>
    <t xml:space="preserve">                -------------------------------------</t>
  </si>
  <si>
    <t xml:space="preserve">     SYSTEM INFORMATION</t>
  </si>
  <si>
    <t>runexh1</t>
  </si>
  <si>
    <t>brrow1~bccolumn1~qq</t>
  </si>
  <si>
    <t>~</t>
  </si>
  <si>
    <t>restart1</t>
  </si>
  <si>
    <t>{menubranch recalculate}</t>
  </si>
  <si>
    <t>Yes</t>
  </si>
  <si>
    <t>No</t>
  </si>
  <si>
    <t xml:space="preserve">                   Cost of Service Program</t>
  </si>
  <si>
    <t>test</t>
  </si>
  <si>
    <t>mmenu2</t>
  </si>
  <si>
    <t>funct</t>
  </si>
  <si>
    <t>{LET cur1,@CELLPOINTER("ROW")}</t>
  </si>
  <si>
    <t xml:space="preserve">                       ELECTRIC COST OF SERVICE MODEL</t>
  </si>
  <si>
    <t>{let printswitch,1}</t>
  </si>
  <si>
    <t>{INDICATE "SAVING TOTAL COMPANY FILE"}/fs</t>
  </si>
  <si>
    <t>{branch restart1}</t>
  </si>
  <si>
    <t>Rate 33 - Electric Space Heating</t>
  </si>
  <si>
    <t>Rate M - Water Pumping</t>
  </si>
  <si>
    <t>Customer Outdoor Lighting</t>
  </si>
  <si>
    <t>Private Outdoor Lighting</t>
  </si>
  <si>
    <t>Production Residual Winter Demand Allocator</t>
  </si>
  <si>
    <t xml:space="preserve">Production Winter Demand Costs </t>
  </si>
  <si>
    <t>LABOR ALLOCATOR</t>
  </si>
  <si>
    <t>LABOR EXPENSE</t>
  </si>
  <si>
    <t xml:space="preserve"> PRODUCTION LABOR</t>
  </si>
  <si>
    <t xml:space="preserve">   ENERGY RELATED</t>
  </si>
  <si>
    <t xml:space="preserve">   FERC 501</t>
  </si>
  <si>
    <t xml:space="preserve">   FERC 510</t>
  </si>
  <si>
    <t xml:space="preserve">   FERC 512</t>
  </si>
  <si>
    <t xml:space="preserve">   FERC 513</t>
  </si>
  <si>
    <t xml:space="preserve">   FERC 547</t>
  </si>
  <si>
    <t xml:space="preserve">     TOTAL ENERGY LABOR</t>
  </si>
  <si>
    <t xml:space="preserve">   DEMAND RELATED</t>
  </si>
  <si>
    <t xml:space="preserve">   FERC 500</t>
  </si>
  <si>
    <t xml:space="preserve">   FERC 502</t>
  </si>
  <si>
    <t xml:space="preserve">   FERC 505</t>
  </si>
  <si>
    <t xml:space="preserve">   FERC 506</t>
  </si>
  <si>
    <t xml:space="preserve">   FERC 509</t>
  </si>
  <si>
    <t xml:space="preserve">   FERC 511</t>
  </si>
  <si>
    <t xml:space="preserve">   FERC 514</t>
  </si>
  <si>
    <t>Factor</t>
  </si>
  <si>
    <t>MISC. TRANSMISSION EXPENSES</t>
  </si>
  <si>
    <t>OM566</t>
  </si>
  <si>
    <t>DEMONSTRATION AND SELLING EXP</t>
  </si>
  <si>
    <t>OM912</t>
  </si>
  <si>
    <t>LB566</t>
  </si>
  <si>
    <t>LB912</t>
  </si>
  <si>
    <t>LB913</t>
  </si>
  <si>
    <t>Customer Specific Assignment</t>
  </si>
  <si>
    <t xml:space="preserve">Average Customers </t>
  </si>
  <si>
    <t>Cust05</t>
  </si>
  <si>
    <t>Cust06</t>
  </si>
  <si>
    <t>ADVERTISING EXPENSES</t>
  </si>
  <si>
    <t>MDSE-JOBBING-CONTRACT</t>
  </si>
  <si>
    <t>MISC SALES EXPENSE</t>
  </si>
  <si>
    <t>OM915</t>
  </si>
  <si>
    <t>OM916</t>
  </si>
  <si>
    <t>LB915</t>
  </si>
  <si>
    <t>LB916</t>
  </si>
  <si>
    <t>Non-Coincident</t>
  </si>
  <si>
    <t>Distribution Demand</t>
  </si>
  <si>
    <t>TOT ACCT 360-362 SUBSTATIONS</t>
  </si>
  <si>
    <t>TOT ACCT 366 &amp; 367-UG LINES</t>
  </si>
  <si>
    <t>TOT ACCT 373-STREET LIGHTING</t>
  </si>
  <si>
    <t>TOTAL ACCT 370-METERS</t>
  </si>
  <si>
    <t>TOT ACCT 371-CUSTOMER INSTALL</t>
  </si>
  <si>
    <t>TOT ACCT 368-LINE TRANSFORMER</t>
  </si>
  <si>
    <t>TOT ACCT 902-904 CUST ACCTS</t>
  </si>
  <si>
    <t>TOT ACCT 908-909 CUST SERV</t>
  </si>
  <si>
    <t>TOTAL TRANS &amp; DISTRIB PLANT</t>
  </si>
  <si>
    <t>TRDSPLT</t>
  </si>
  <si>
    <t>INTERNALLY DEVELOPED-CON'T</t>
  </si>
  <si>
    <t>TOT ACCT 912-913 SALES EXP</t>
  </si>
  <si>
    <t>REVENUE SALE OF ELECT-FERC</t>
  </si>
  <si>
    <t>REVFERC</t>
  </si>
  <si>
    <t>REVENUE SALE OF ELECT-VA</t>
  </si>
  <si>
    <t>REVVA</t>
  </si>
  <si>
    <t>REVENUE SALE OF ELECT</t>
  </si>
  <si>
    <t>REVENUE</t>
  </si>
  <si>
    <t>REV SALE OF ELECT-VA NON JUR</t>
  </si>
  <si>
    <t>REVNJVA</t>
  </si>
  <si>
    <t>REV SALE OF ELECT-EXCL FERC</t>
  </si>
  <si>
    <t>REVENUEX</t>
  </si>
  <si>
    <t>Base</t>
  </si>
  <si>
    <t>CUSTOMER ASSISTANCE EXP-INCENTIVES</t>
  </si>
  <si>
    <t xml:space="preserve">      FERC 598</t>
  </si>
  <si>
    <t xml:space="preserve"> TOTAL DISTRIBUTION LABOR</t>
  </si>
  <si>
    <t xml:space="preserve"> TOT PROD, TRNS &amp; DISTR LABOR</t>
  </si>
  <si>
    <t xml:space="preserve"> CUSTOMER ACCOUNTING</t>
  </si>
  <si>
    <t xml:space="preserve">      FERC 901</t>
  </si>
  <si>
    <t xml:space="preserve">      FERC 902</t>
  </si>
  <si>
    <t xml:space="preserve">      FERC 903</t>
  </si>
  <si>
    <t xml:space="preserve">      FERC 904</t>
  </si>
  <si>
    <t xml:space="preserve">      FERC 905</t>
  </si>
  <si>
    <t xml:space="preserve"> TOTAL CUSTOMER ACCOUNTING LABOR</t>
  </si>
  <si>
    <t xml:space="preserve"> CUSTOMER SERVICE &amp; SALES EXP</t>
  </si>
  <si>
    <t xml:space="preserve">      FERC 907</t>
  </si>
  <si>
    <t xml:space="preserve">      FERC 908</t>
  </si>
  <si>
    <t xml:space="preserve">      FERC 909</t>
  </si>
  <si>
    <t xml:space="preserve">      FERC 910</t>
  </si>
  <si>
    <t>Meters Account 370</t>
  </si>
  <si>
    <t>LCI Time of Day - Tranmsission</t>
  </si>
  <si>
    <t>Maximum Class Non-Coincident Peak Demands</t>
  </si>
  <si>
    <t xml:space="preserve">  Sales</t>
  </si>
  <si>
    <t>ADMIN. EXPENSES TRANSFERRED - CREDIT</t>
  </si>
  <si>
    <t>Misc</t>
  </si>
  <si>
    <t xml:space="preserve">   Gain Disposition of Allowances</t>
  </si>
  <si>
    <t>GAIN</t>
  </si>
  <si>
    <t>Net Operating Income (Adjusted)</t>
  </si>
  <si>
    <t>Net Operating Income (Unadjusted)</t>
  </si>
  <si>
    <t>Proposed Increase</t>
  </si>
  <si>
    <t>Cust07</t>
  </si>
  <si>
    <t>Cust08</t>
  </si>
  <si>
    <t>Remove ECR Revenues</t>
  </si>
  <si>
    <t>Revenue Adjustment Allocators</t>
  </si>
  <si>
    <t>Expenses before Adjustments</t>
  </si>
  <si>
    <t>Production Demand Intermediate</t>
  </si>
  <si>
    <t>Production Demand Peak</t>
  </si>
  <si>
    <t>Transmission Intermediate</t>
  </si>
  <si>
    <t>Transmission Peak</t>
  </si>
  <si>
    <t>Transmission Demand Intermediate</t>
  </si>
  <si>
    <t>Transmission Demand Peak</t>
  </si>
  <si>
    <t>Total Expense Adjustments</t>
  </si>
  <si>
    <t xml:space="preserve">  Specific Assignment of Curtailable Service Rider Credit</t>
  </si>
  <si>
    <t>Increase in Miscellaneous Charges</t>
  </si>
  <si>
    <t>Net Operating Income</t>
  </si>
  <si>
    <t>Increase to Ultimate Consumers Required to Produce Equalized RORs</t>
  </si>
  <si>
    <t>Incremental Income Taxes</t>
  </si>
  <si>
    <t>Adjusted Revenue at Current Rates</t>
  </si>
  <si>
    <t>Increase (Decrease) Required to Produce Levelized RORs</t>
  </si>
  <si>
    <t>% Increase (Decrease) Required to Produce Levelized RORs</t>
  </si>
  <si>
    <t>Average Revenue per kWh (unadjusted sales)</t>
  </si>
  <si>
    <t>Summer CP Annual Load Factor</t>
  </si>
  <si>
    <t>TOTAL PRODUCTION PLANT</t>
  </si>
  <si>
    <t>PRODPLT</t>
  </si>
  <si>
    <t>TOTAL TRANSMISSION PLANT</t>
  </si>
  <si>
    <t>TRANPLT</t>
  </si>
  <si>
    <t>MAT &amp; SUPPLIES DISTRIBUTED</t>
  </si>
  <si>
    <t>M_S</t>
  </si>
  <si>
    <t>ACCT 924 &amp; 925 INSURANCE</t>
  </si>
  <si>
    <t>REVENUE SALE OF ELECT-KY</t>
  </si>
  <si>
    <t>CWIP PROD FERC-POST ALLOC</t>
  </si>
  <si>
    <t>CWIPPP</t>
  </si>
  <si>
    <t>CWIP TRAN FERC-POST ALLOC</t>
  </si>
  <si>
    <t>CWIPTP</t>
  </si>
  <si>
    <t>ACC DEF INC TX PROD FERC-POST</t>
  </si>
  <si>
    <t>ACC DEF INC TX TRAN FERC-POST</t>
  </si>
  <si>
    <t>TRANSMISSION PLANT EXCL VA</t>
  </si>
  <si>
    <t>TRANPLTX</t>
  </si>
  <si>
    <t>KENTUCKY DISTRIBUTION PLANT</t>
  </si>
  <si>
    <t>KYDIST</t>
  </si>
  <si>
    <t>Summary of Billing Determinants and Demand Analysis</t>
  </si>
  <si>
    <t>OM911</t>
  </si>
  <si>
    <t>LB911</t>
  </si>
  <si>
    <t>Marketing/Economic Development</t>
  </si>
  <si>
    <t>MISC DISTR EXP -- MAPPIN</t>
  </si>
  <si>
    <t>Transmission Demand</t>
  </si>
  <si>
    <t>Maximum</t>
  </si>
  <si>
    <t>Summer</t>
  </si>
  <si>
    <t>Winter</t>
  </si>
  <si>
    <t>Non-Operating Items</t>
  </si>
  <si>
    <t>Non-Operating Margins - Interest</t>
  </si>
  <si>
    <t>DISTRIBUTION PLANT EXCL VA</t>
  </si>
  <si>
    <t>DPLTXVA</t>
  </si>
  <si>
    <t>ACCT 926 DIR ASSIGN COMP.KY RET</t>
  </si>
  <si>
    <t>LABPTDKY</t>
  </si>
  <si>
    <t>ACCT 926 DIR ASSIGN COMP.VAJ</t>
  </si>
  <si>
    <t>LABPTDVAJ</t>
  </si>
  <si>
    <t>ACCT 926 DIR ASSIGN COMP.VANJ</t>
  </si>
  <si>
    <t>LABPTDVNJ</t>
  </si>
  <si>
    <t>ACCT 926 DIR ASSIGN COMP.FERC</t>
  </si>
  <si>
    <t xml:space="preserve">    PREPAYMENTS</t>
  </si>
  <si>
    <t xml:space="preserve">    WORKING CASH</t>
  </si>
  <si>
    <t xml:space="preserve">    EMISSION ALLOWANCES</t>
  </si>
  <si>
    <t xml:space="preserve">     TOTAL ADDITIONS</t>
  </si>
  <si>
    <t>DEDUCT:</t>
  </si>
  <si>
    <t>DEPRDP1</t>
  </si>
  <si>
    <t>DEPRDP2</t>
  </si>
  <si>
    <t>DEPRDP3</t>
  </si>
  <si>
    <t>DEPRDP4</t>
  </si>
  <si>
    <t>DEPRDP5</t>
  </si>
  <si>
    <t>DEPRDP6</t>
  </si>
  <si>
    <t>Load Management</t>
  </si>
  <si>
    <t>F012</t>
  </si>
  <si>
    <t>Deferred Debits</t>
  </si>
  <si>
    <t>Labor Expenses (Continued)</t>
  </si>
  <si>
    <t>LBPP</t>
  </si>
  <si>
    <t>LB557</t>
  </si>
  <si>
    <t>LB561</t>
  </si>
  <si>
    <t>LB562</t>
  </si>
  <si>
    <t>LB563</t>
  </si>
  <si>
    <t>LB568</t>
  </si>
  <si>
    <t>LB570</t>
  </si>
  <si>
    <t>LB571</t>
  </si>
  <si>
    <t>LB580</t>
  </si>
  <si>
    <t>LB581</t>
  </si>
  <si>
    <t>LB582</t>
  </si>
  <si>
    <t>LB583</t>
  </si>
  <si>
    <t>LB584</t>
  </si>
  <si>
    <t>LB585</t>
  </si>
  <si>
    <t>LB586</t>
  </si>
  <si>
    <t>LB586x</t>
  </si>
  <si>
    <t>LB587</t>
  </si>
  <si>
    <t>LB588</t>
  </si>
  <si>
    <t>LB589</t>
  </si>
  <si>
    <t>LBDO</t>
  </si>
  <si>
    <t>LB590</t>
  </si>
  <si>
    <t>LB592</t>
  </si>
  <si>
    <t>LB593</t>
  </si>
  <si>
    <t>LB594</t>
  </si>
  <si>
    <t>LB595</t>
  </si>
  <si>
    <t>LB596</t>
  </si>
  <si>
    <t>LB597</t>
  </si>
  <si>
    <t>LB598</t>
  </si>
  <si>
    <t>LBDM</t>
  </si>
  <si>
    <t>LBSUB</t>
  </si>
  <si>
    <t>LB901</t>
  </si>
  <si>
    <t>LB902</t>
  </si>
  <si>
    <t>LB903</t>
  </si>
  <si>
    <t>LB904</t>
  </si>
  <si>
    <t>LBCA</t>
  </si>
  <si>
    <t>LB907</t>
  </si>
  <si>
    <t>LB908</t>
  </si>
  <si>
    <t>LB908x</t>
  </si>
  <si>
    <t>LB909</t>
  </si>
  <si>
    <t>LB909x</t>
  </si>
  <si>
    <t>LB910</t>
  </si>
  <si>
    <t>LBCS</t>
  </si>
  <si>
    <t>LBSUB2</t>
  </si>
  <si>
    <t>LB920</t>
  </si>
  <si>
    <t>LB921</t>
  </si>
  <si>
    <t>LB923</t>
  </si>
  <si>
    <t>LB924</t>
  </si>
  <si>
    <t>LB925</t>
  </si>
  <si>
    <t>LB926</t>
  </si>
  <si>
    <t>LB928</t>
  </si>
  <si>
    <t>LB929</t>
  </si>
  <si>
    <t>LB930</t>
  </si>
  <si>
    <t>LB931</t>
  </si>
  <si>
    <t>LB932</t>
  </si>
  <si>
    <t>LBAG</t>
  </si>
  <si>
    <t>TLB</t>
  </si>
  <si>
    <t>LBLPP</t>
  </si>
  <si>
    <t>LB555</t>
  </si>
  <si>
    <t>LB560</t>
  </si>
  <si>
    <t>Total Purchased Power Labor</t>
  </si>
  <si>
    <t>Total Transmission Labor Expenses</t>
  </si>
  <si>
    <t>Transmission Labor Expenses</t>
  </si>
  <si>
    <t>Distribution Operation Labor Expense</t>
  </si>
  <si>
    <t>Total Distribution Operation Labor Expense</t>
  </si>
  <si>
    <t>Distribution Maintenance Labor Expense</t>
  </si>
  <si>
    <t>Total Distribution Maintenance Labor Expense</t>
  </si>
  <si>
    <t>Total Distribution Operation and Maintenance Labor Expenses</t>
  </si>
  <si>
    <t>Transmission and Distribution Labor Expenses</t>
  </si>
  <si>
    <t>Total Customer Accounts Labor Expense</t>
  </si>
  <si>
    <t>Total Customer Service Labor Expense</t>
  </si>
  <si>
    <t>F013</t>
  </si>
  <si>
    <t>F014</t>
  </si>
  <si>
    <t>Intallations on Customer Premises - Accum Depr</t>
  </si>
  <si>
    <t>OM588x</t>
  </si>
  <si>
    <t>F015</t>
  </si>
  <si>
    <t>Generators -Energy</t>
  </si>
  <si>
    <t>CWIP1</t>
  </si>
  <si>
    <t>CWIP2</t>
  </si>
  <si>
    <t xml:space="preserve">      FERC 912</t>
  </si>
  <si>
    <t xml:space="preserve">      FERC 913</t>
  </si>
  <si>
    <t xml:space="preserve">      FERC 916</t>
  </si>
  <si>
    <t xml:space="preserve">     TOTAL DEDUCTIONS</t>
  </si>
  <si>
    <t>NET ORIGINAL COST RATE BASE</t>
  </si>
  <si>
    <t>DEVELOPMENT OF RETURN</t>
  </si>
  <si>
    <t>OPERATING REVENUES</t>
  </si>
  <si>
    <t>OPERATING EXPENSES</t>
  </si>
  <si>
    <t xml:space="preserve">    OPERATION &amp; MAINT EXPENSE</t>
  </si>
  <si>
    <t xml:space="preserve">    DEPRECIATION &amp; AMORT EXP</t>
  </si>
  <si>
    <t xml:space="preserve">    REGULATORY CREDITS</t>
  </si>
  <si>
    <t xml:space="preserve">    TAXES OTHER THAN INC TAX</t>
  </si>
  <si>
    <t xml:space="preserve">    INCOME TAXES</t>
  </si>
  <si>
    <t xml:space="preserve">    ACCRETION EXPENSE</t>
  </si>
  <si>
    <t xml:space="preserve">     TOTAL OPERATING EXPENSES</t>
  </si>
  <si>
    <t>RETURN</t>
  </si>
  <si>
    <t>RATE OF RETURN</t>
  </si>
  <si>
    <t>ELECTRIC PLANT IN SERVICE</t>
  </si>
  <si>
    <t>INTANGIBLE PLANT</t>
  </si>
  <si>
    <t>TOTAL INTANGIBLE PLANT</t>
  </si>
  <si>
    <t>PRODUCTION PLANT</t>
  </si>
  <si>
    <t xml:space="preserve">  FERC-AFUDC PRE</t>
  </si>
  <si>
    <t xml:space="preserve">  FERC-AFUDC POST</t>
  </si>
  <si>
    <t>Total steam plant</t>
  </si>
  <si>
    <t xml:space="preserve"> TOTAL HYDRAULIC PROD PLANT</t>
  </si>
  <si>
    <t>Total hydro plant</t>
  </si>
  <si>
    <t xml:space="preserve"> TOTAL OTHER PROD PLANT</t>
  </si>
  <si>
    <t>Total other production plant</t>
  </si>
  <si>
    <t>TRANSMISSION PLANT</t>
  </si>
  <si>
    <t>Input KY and TN transmission here:</t>
  </si>
  <si>
    <t xml:space="preserve">  KENTUCKY SYSTEM PROPERTY</t>
  </si>
  <si>
    <t xml:space="preserve">  VIRGINIA PROPERTY-500 KV LINE</t>
  </si>
  <si>
    <t>Input total VA transmission here:</t>
  </si>
  <si>
    <t xml:space="preserve">  VIRGINIA PROPERTY</t>
  </si>
  <si>
    <t>ELECTRIC PLANT IN SERVICE CON'T</t>
  </si>
  <si>
    <t>DISTRIBUTION PLANT</t>
  </si>
  <si>
    <t xml:space="preserve"> KENTUCKY DISTRIBUTION PLANT</t>
  </si>
  <si>
    <t xml:space="preserve">    TOTAL HYDRO MAINTENANCE</t>
  </si>
  <si>
    <t>TOTAL HYDRO GENERATION</t>
  </si>
  <si>
    <t>PRODUCTION EXPENSE-OTHER</t>
  </si>
  <si>
    <t xml:space="preserve">  546-SUPERV &amp; ENGINEERING</t>
  </si>
  <si>
    <t xml:space="preserve">  547-FUEL</t>
  </si>
  <si>
    <t xml:space="preserve">  548-GENERATION EXPENSES</t>
  </si>
  <si>
    <t xml:space="preserve">  549-550 MISC &amp; RENTS</t>
  </si>
  <si>
    <t xml:space="preserve">    TOTAL OTHER OPERATIONS</t>
  </si>
  <si>
    <t xml:space="preserve">  551-SUPERV &amp; ENGINEERING</t>
  </si>
  <si>
    <t xml:space="preserve">  552-STRUCTURES</t>
  </si>
  <si>
    <t xml:space="preserve">  553-GENERATING &amp; ELECT PLT</t>
  </si>
  <si>
    <t xml:space="preserve">  554-MISC OTH POWER GEN PLT</t>
  </si>
  <si>
    <t xml:space="preserve">    TOTAL OTHER MAINTENANCE</t>
  </si>
  <si>
    <t>TOTAL OTHER GENERATION</t>
  </si>
  <si>
    <t>555-PURCHASED POWER</t>
  </si>
  <si>
    <t xml:space="preserve">  CAPACITY COMPONENT</t>
  </si>
  <si>
    <t xml:space="preserve">  ENERGY COMPONENT</t>
  </si>
  <si>
    <t xml:space="preserve">    TOTAL ACCT 555</t>
  </si>
  <si>
    <t>556-SYSTEM CONTROL &amp; DISP</t>
  </si>
  <si>
    <t>557-OTHER EXPENSES</t>
  </si>
  <si>
    <t>TOTAL PRODUCTION EXPENSES</t>
  </si>
  <si>
    <t>OPERATION &amp; MAINT EXP CON'T</t>
  </si>
  <si>
    <t>TRANSMISSION EXPENSES</t>
  </si>
  <si>
    <t xml:space="preserve">  560-SUPERV &amp; ENGINEERING</t>
  </si>
  <si>
    <t xml:space="preserve">  561-LOAD DISPATCHING</t>
  </si>
  <si>
    <t xml:space="preserve">  562-STATION EXPENSES</t>
  </si>
  <si>
    <t xml:space="preserve">  563-OVERHEAD LINE EXPENSES</t>
  </si>
  <si>
    <t xml:space="preserve">  564-UNDERGROUND LINE EXP</t>
  </si>
  <si>
    <t xml:space="preserve">  565-TRANSM OF ELECT BY OTH</t>
  </si>
  <si>
    <t xml:space="preserve">  566-MISC TRANSMISSION EXP</t>
  </si>
  <si>
    <t xml:space="preserve">  567-RENTS</t>
  </si>
  <si>
    <t xml:space="preserve">    TOTAL TRANSM OPERATIONS</t>
  </si>
  <si>
    <t xml:space="preserve">  568-SUPERV &amp; ENGINEERING</t>
  </si>
  <si>
    <t xml:space="preserve">  569-MAINT OF STRUCTURES</t>
  </si>
  <si>
    <t xml:space="preserve">  570-MAINT OF STATION EQUIP</t>
  </si>
  <si>
    <t xml:space="preserve">  571-MAINT OF OH LINES</t>
  </si>
  <si>
    <t xml:space="preserve">  572-MAINT OF UG LINES</t>
  </si>
  <si>
    <t xml:space="preserve">  573-MAINT OF MISC TRAN PLT</t>
  </si>
  <si>
    <t xml:space="preserve">    TOTAL TRANSM MAINTENANCE</t>
  </si>
  <si>
    <t>TOTAL TRANSMISSION EXPENSES</t>
  </si>
  <si>
    <t>CONSTRUCTION WORK IN PROGRESS</t>
  </si>
  <si>
    <t xml:space="preserve">   SYSTEM</t>
  </si>
  <si>
    <t xml:space="preserve">   FERC-AFUDC PRE</t>
  </si>
  <si>
    <t xml:space="preserve">   FERC-AFUDC POST</t>
  </si>
  <si>
    <t xml:space="preserve">    TOTAL PRODUCTION PLANT</t>
  </si>
  <si>
    <t xml:space="preserve">   TRANS VIRGINIA-KY SYSTEM</t>
  </si>
  <si>
    <t xml:space="preserve">   TRANS VIRGINIA</t>
  </si>
  <si>
    <t xml:space="preserve">    TOTAL TRANSMISSION PLT</t>
  </si>
  <si>
    <t>To calculate AFUDC percentage, calculate ratio of FERC P/T CWIP to Total Co P/T CWIP</t>
  </si>
  <si>
    <t xml:space="preserve"> DISTRIBUTION - VA &amp; TN </t>
  </si>
  <si>
    <t>Provide AFUDC percentage to Bruce Rose in time for January close.</t>
  </si>
  <si>
    <t xml:space="preserve">    TOTAL DISTRIBUTION PLT</t>
  </si>
  <si>
    <t xml:space="preserve"> GENERAL</t>
  </si>
  <si>
    <t>TOTAL CWIP</t>
  </si>
  <si>
    <t>WORKING CAPITAL</t>
  </si>
  <si>
    <t>Reference</t>
  </si>
  <si>
    <t>(1)</t>
  </si>
  <si>
    <t>Taxable Income Unadjusted</t>
  </si>
  <si>
    <t>Total Operating Revenue</t>
  </si>
  <si>
    <t>Interest Expense</t>
  </si>
  <si>
    <t>INTEXP</t>
  </si>
  <si>
    <t>Taxable Income</t>
  </si>
  <si>
    <t>TAXINC</t>
  </si>
  <si>
    <t>Interest</t>
  </si>
  <si>
    <t>INTPPDB</t>
  </si>
  <si>
    <t>INTPPDI</t>
  </si>
  <si>
    <t>INTPPDP</t>
  </si>
  <si>
    <t>INTPPEB</t>
  </si>
  <si>
    <t>INTPPEI</t>
  </si>
  <si>
    <t>INTPPEP</t>
  </si>
  <si>
    <t>INTPPT</t>
  </si>
  <si>
    <t>INTTRB</t>
  </si>
  <si>
    <t>INTTRI</t>
  </si>
  <si>
    <t>INTTRP</t>
  </si>
  <si>
    <t>INTTRT</t>
  </si>
  <si>
    <t>INTDPS</t>
  </si>
  <si>
    <t>INTDSG</t>
  </si>
  <si>
    <t>INTDPLS</t>
  </si>
  <si>
    <t>INTDPLD</t>
  </si>
  <si>
    <t>INTDPLC</t>
  </si>
  <si>
    <t>INTDSLD</t>
  </si>
  <si>
    <t>INTDSLC</t>
  </si>
  <si>
    <t>INTDLT</t>
  </si>
  <si>
    <t>INTDLTD</t>
  </si>
  <si>
    <t>INTDLTC</t>
  </si>
  <si>
    <t>INTDLTT</t>
  </si>
  <si>
    <t>INTDSC</t>
  </si>
  <si>
    <t>INTDMC</t>
  </si>
  <si>
    <t>INTDSCL</t>
  </si>
  <si>
    <t>INTCAE</t>
  </si>
  <si>
    <t>INTCSI</t>
  </si>
  <si>
    <t>INTSEC</t>
  </si>
  <si>
    <t>INTT</t>
  </si>
  <si>
    <t>Taxable Income Pro-Forma</t>
  </si>
  <si>
    <t>Interest Syncronization Adjustment</t>
  </si>
  <si>
    <t>TXINCPF</t>
  </si>
  <si>
    <t>Off-System Sales Allocator</t>
  </si>
  <si>
    <t>Off-System Sales</t>
  </si>
  <si>
    <t>Less: Adjustment to Reallocate Expenses</t>
  </si>
  <si>
    <t>Costs allocated on Energy to be reallocated on RBPPT</t>
  </si>
  <si>
    <t>Costs allocated on Energy reallocated on RBPPT</t>
  </si>
  <si>
    <t>Net Adjustment</t>
  </si>
  <si>
    <t xml:space="preserve">  Off-System Sales Allocator</t>
  </si>
  <si>
    <t>OSSALL</t>
  </si>
  <si>
    <t xml:space="preserve">  Intercompany Sales</t>
  </si>
  <si>
    <t>Summer Peak Period Demand Allocator</t>
  </si>
  <si>
    <t>Winter Peak Period Demand Allocator</t>
  </si>
  <si>
    <t>Base Demand Allocator</t>
  </si>
  <si>
    <t>BDEM</t>
  </si>
  <si>
    <t>Production Winter Demand Residual</t>
  </si>
  <si>
    <t>Production Winter Demand Total</t>
  </si>
  <si>
    <t>Production Winter Demand Allocator</t>
  </si>
  <si>
    <t>Production Residual Summer Demand Allocator</t>
  </si>
  <si>
    <t xml:space="preserve">Production Summer Demand Costs </t>
  </si>
  <si>
    <t>Production Summer Demand Residual</t>
  </si>
  <si>
    <t>Production Summer Demand Total</t>
  </si>
  <si>
    <t>INJURIES AND DAMAGES - INSURAN</t>
  </si>
  <si>
    <t>OM925</t>
  </si>
  <si>
    <t>EMPLOYEE BENEFITS</t>
  </si>
  <si>
    <t>DEPRECIATION &amp; AMORT EXPENSE</t>
  </si>
  <si>
    <t>DEPRECIATION EXPENSE</t>
  </si>
  <si>
    <t>AFUDC expense per Prop Acct spreadsheet</t>
  </si>
  <si>
    <t>12 month ending functional depr expense</t>
  </si>
  <si>
    <t>12 month ending KY, PP, TN depr expense</t>
  </si>
  <si>
    <t>F010</t>
  </si>
  <si>
    <t>CUSTOMER ASSISTANCE EXPENSES</t>
  </si>
  <si>
    <t>OM908</t>
  </si>
  <si>
    <t>INFORMATIONAL AND INSTRUCTIONA</t>
  </si>
  <si>
    <t>OM909</t>
  </si>
  <si>
    <t>MISCELLANEOUS CUSTOMER SERVICE</t>
  </si>
  <si>
    <t>OM910</t>
  </si>
  <si>
    <t>Total Customer Service Expense</t>
  </si>
  <si>
    <t>OMCS</t>
  </si>
  <si>
    <t>Administrative and General Expense</t>
  </si>
  <si>
    <t>ADMIN. &amp; GEN. SALARIES-</t>
  </si>
  <si>
    <t>OM920</t>
  </si>
  <si>
    <t>OFFICE SUPPLIES AND EXPENSES</t>
  </si>
  <si>
    <t>OM921</t>
  </si>
  <si>
    <t>OUTSIDE SERVICES EMPLOYED</t>
  </si>
  <si>
    <t>OM923</t>
  </si>
  <si>
    <t>PROPERTY INSURANCE</t>
  </si>
  <si>
    <t>OM924</t>
  </si>
  <si>
    <t>Annual Summary</t>
  </si>
  <si>
    <t>All Sub-Pages</t>
  </si>
  <si>
    <t xml:space="preserve">   FERC 535</t>
  </si>
  <si>
    <t xml:space="preserve">   FERC 538</t>
  </si>
  <si>
    <t xml:space="preserve">   FERC 539</t>
  </si>
  <si>
    <t xml:space="preserve">   FERC 541</t>
  </si>
  <si>
    <t xml:space="preserve">   FERC 542</t>
  </si>
  <si>
    <t xml:space="preserve">   FERC 544</t>
  </si>
  <si>
    <t xml:space="preserve">   FERC 545</t>
  </si>
  <si>
    <t xml:space="preserve">   FERC 546</t>
  </si>
  <si>
    <t xml:space="preserve">   FERC 548</t>
  </si>
  <si>
    <t xml:space="preserve">   FERC 549</t>
  </si>
  <si>
    <t xml:space="preserve">   FERC 550</t>
  </si>
  <si>
    <t xml:space="preserve">   FERC 551</t>
  </si>
  <si>
    <t xml:space="preserve">   FERC 552</t>
  </si>
  <si>
    <t xml:space="preserve">   FERC 553</t>
  </si>
  <si>
    <t xml:space="preserve">   FERC 554</t>
  </si>
  <si>
    <t xml:space="preserve">   FERC 555</t>
  </si>
  <si>
    <t xml:space="preserve">   FERC 556</t>
  </si>
  <si>
    <t xml:space="preserve">   FERC 557</t>
  </si>
  <si>
    <t xml:space="preserve">     TOTAL DEMAND</t>
  </si>
  <si>
    <t xml:space="preserve">     TOTAL PRODUCTION</t>
  </si>
  <si>
    <t xml:space="preserve"> TRANSMISSION LABOR</t>
  </si>
  <si>
    <t xml:space="preserve">      FERC 560</t>
  </si>
  <si>
    <t xml:space="preserve">      FERC 561</t>
  </si>
  <si>
    <t xml:space="preserve">      FERC 562</t>
  </si>
  <si>
    <t xml:space="preserve">      FERC 563</t>
  </si>
  <si>
    <t xml:space="preserve">      FERC 565</t>
  </si>
  <si>
    <t xml:space="preserve">      FERC 566</t>
  </si>
  <si>
    <t xml:space="preserve">      FERC 567</t>
  </si>
  <si>
    <t xml:space="preserve">      FERC 569</t>
  </si>
  <si>
    <t xml:space="preserve">      FERC 570</t>
  </si>
  <si>
    <t xml:space="preserve">      FERC 571</t>
  </si>
  <si>
    <t xml:space="preserve">      FERC 572</t>
  </si>
  <si>
    <t xml:space="preserve">      FERC 573</t>
  </si>
  <si>
    <t xml:space="preserve"> TOTAL TRANSMISSION LABOR</t>
  </si>
  <si>
    <t xml:space="preserve"> DISTRIBUTION LABOR</t>
  </si>
  <si>
    <t xml:space="preserve">      FERC 580</t>
  </si>
  <si>
    <t xml:space="preserve">      FERC 581</t>
  </si>
  <si>
    <t xml:space="preserve">      FERC 582</t>
  </si>
  <si>
    <t xml:space="preserve">      FERC 583</t>
  </si>
  <si>
    <t xml:space="preserve">      FERC 584</t>
  </si>
  <si>
    <t xml:space="preserve">      FERC 585</t>
  </si>
  <si>
    <t xml:space="preserve">      FERC 586</t>
  </si>
  <si>
    <t xml:space="preserve">      FERC 587</t>
  </si>
  <si>
    <t xml:space="preserve">      FERC 588</t>
  </si>
  <si>
    <t xml:space="preserve">      FERC 589</t>
  </si>
  <si>
    <t xml:space="preserve">      FERC 590</t>
  </si>
  <si>
    <t xml:space="preserve">      FERC 592</t>
  </si>
  <si>
    <t xml:space="preserve">      FERC 593</t>
  </si>
  <si>
    <t xml:space="preserve">      FERC 594</t>
  </si>
  <si>
    <t xml:space="preserve">      FERC 595</t>
  </si>
  <si>
    <t xml:space="preserve">      FERC 596</t>
  </si>
  <si>
    <t xml:space="preserve">      FERC 597</t>
  </si>
  <si>
    <t>Less: Customer Advances</t>
  </si>
  <si>
    <t>General Service Secondary</t>
  </si>
  <si>
    <t>GSS</t>
  </si>
  <si>
    <t>/wgpd/cswitch~co~</t>
  </si>
  <si>
    <t>{branch branch1}</t>
  </si>
  <si>
    <t>{branch branch2}</t>
  </si>
  <si>
    <t>{branch branch49}</t>
  </si>
  <si>
    <t xml:space="preserve">                        Copyright 1992</t>
  </si>
  <si>
    <t>cur</t>
  </si>
  <si>
    <t>emenu0</t>
  </si>
  <si>
    <t>Print Sub-Page 1 only.</t>
  </si>
  <si>
    <t>Print Sub-Pages 1 and 2.</t>
  </si>
  <si>
    <t>{INDICATE "CALCULATING COMPONENT COST FILE"}</t>
  </si>
  <si>
    <t>branch1</t>
  </si>
  <si>
    <t>{let macro1,macro2}~</t>
  </si>
  <si>
    <t>{INDICATE "CALCULATING TOTAL COMPANY WORKSHEET"}{calc}</t>
  </si>
  <si>
    <t>branch48</t>
  </si>
  <si>
    <t>{getlabel Enter Distribution Component File Name to be Saved &gt;&gt;&gt;&gt;,macro36}</t>
  </si>
  <si>
    <t>ct</t>
  </si>
  <si>
    <t>emenu1</t>
  </si>
  <si>
    <t>/c~.{right 3}~</t>
  </si>
  <si>
    <t>runexh4</t>
  </si>
  <si>
    <t>{branch pageb1}</t>
  </si>
  <si>
    <t>{branch pageb2}</t>
  </si>
  <si>
    <t>{branch pagec1}</t>
  </si>
  <si>
    <t>{branch pagec2}</t>
  </si>
  <si>
    <t>{branch paged1}</t>
  </si>
  <si>
    <t>{branch paged2}</t>
  </si>
  <si>
    <t>{branch pagee1}</t>
  </si>
  <si>
    <t>{branch pagee2}</t>
  </si>
  <si>
    <t>{branch pagef1}</t>
  </si>
  <si>
    <t>{branch pagef2}</t>
  </si>
  <si>
    <t>{branch pageg1}</t>
  </si>
  <si>
    <t>{branch pageg2}</t>
  </si>
  <si>
    <t>{branch pageh1}</t>
  </si>
  <si>
    <t>{branch pageh2}</t>
  </si>
  <si>
    <t>{branch pagei1}</t>
  </si>
  <si>
    <t>{branch pagei2}</t>
  </si>
  <si>
    <t>{branch pagej1}</t>
  </si>
  <si>
    <t>{branch pagej2}</t>
  </si>
  <si>
    <t>{IF co=2}/cmtitle2~mtitle1~/chtitle2~htitle1~/cmacro10~filename~</t>
  </si>
  <si>
    <t>{branch branch3}</t>
  </si>
  <si>
    <t>{if @left(macro36,1)=" "}{branch branch48}</t>
  </si>
  <si>
    <t>emenu2</t>
  </si>
  <si>
    <t>{right 3}</t>
  </si>
  <si>
    <t>pageb1</t>
  </si>
  <si>
    <t>{let subswitch,1}</t>
  </si>
  <si>
    <t>pagec1</t>
  </si>
  <si>
    <t>paged1</t>
  </si>
  <si>
    <t>pagee1</t>
  </si>
  <si>
    <t>pagef1</t>
  </si>
  <si>
    <t>pageg1</t>
  </si>
  <si>
    <t>pageh1</t>
  </si>
  <si>
    <t>pagei1</t>
  </si>
  <si>
    <t>pagej1</t>
  </si>
  <si>
    <t>{IF co=3}/cmtitle3~mtitle1~/chtitle3~htitle1~/cmacro14~filename~</t>
  </si>
  <si>
    <t>branch2</t>
  </si>
  <si>
    <t>{let macro1,macro3}~</t>
  </si>
  <si>
    <t>{if @left(macro36,1)=""}{branch branch48}</t>
  </si>
  <si>
    <t>emenu3</t>
  </si>
  <si>
    <t>/c~{right 4}~</t>
  </si>
  <si>
    <t>{branch printrb1}</t>
  </si>
  <si>
    <t>{branch printrc1}</t>
  </si>
  <si>
    <t>{branch printrd1}</t>
  </si>
  <si>
    <t>{branch printre1}</t>
  </si>
  <si>
    <t>{branch printrf1}</t>
  </si>
  <si>
    <t>{branch printrg1}</t>
  </si>
  <si>
    <t>{branch printrh1}</t>
  </si>
  <si>
    <t>{branch printri1}</t>
  </si>
  <si>
    <t>{branch printrj1}</t>
  </si>
  <si>
    <t>{IF co=4}/cmtitle4~mtitle1~/chtitle4~htitle1~/cmacro18~filename~</t>
  </si>
  <si>
    <t>branch3</t>
  </si>
  <si>
    <t>{menubranch totalcosave}</t>
  </si>
  <si>
    <t>{let macro34,macro36}~</t>
  </si>
  <si>
    <t xml:space="preserve">     This Software has been provided to you persuant</t>
  </si>
  <si>
    <t>\m</t>
  </si>
  <si>
    <t>{WINDOWSOFF}/wtc{BORDERSOFF}{PANELOFF clear}{HOME}{GOTO}a21~{DOWN 9}{RIGHT}{WINDOWSON}/rfra21.e200~</t>
  </si>
  <si>
    <t>emenu4</t>
  </si>
  <si>
    <t>{right 4}</t>
  </si>
  <si>
    <t xml:space="preserve">         KENTUCKY UTILITIES COMPANY</t>
  </si>
  <si>
    <t xml:space="preserve">    ELECTRIC COST OF SERVICE STUDY</t>
  </si>
  <si>
    <t xml:space="preserve">          JURISDICTIONAL SEPARATION</t>
  </si>
  <si>
    <t>RATE BASE: END OF PERIOD</t>
  </si>
  <si>
    <t>TOTAL</t>
  </si>
  <si>
    <t>KENTUCKY</t>
  </si>
  <si>
    <t>VIRGINIA</t>
  </si>
  <si>
    <t>FERC &amp;</t>
  </si>
  <si>
    <t>TENNESSEE</t>
  </si>
  <si>
    <t>INPUT COL</t>
  </si>
  <si>
    <t>STATE</t>
  </si>
  <si>
    <t>FERC</t>
  </si>
  <si>
    <t>ALLOC</t>
  </si>
  <si>
    <t>UTILITIES</t>
  </si>
  <si>
    <t>JURISDICTION</t>
  </si>
  <si>
    <t>PRIMARY</t>
  </si>
  <si>
    <t>TRANSMISSION</t>
  </si>
  <si>
    <t>PARIS</t>
  </si>
  <si>
    <t>(1)-1</t>
  </si>
  <si>
    <t>(2)</t>
  </si>
  <si>
    <t>(6)</t>
  </si>
  <si>
    <t>(7)</t>
  </si>
  <si>
    <t>(8)</t>
  </si>
  <si>
    <t>(9)</t>
  </si>
  <si>
    <t>ALLOCATION FACTOR TABLE</t>
  </si>
  <si>
    <t>DEMAND RELATED</t>
  </si>
  <si>
    <t>-</t>
  </si>
  <si>
    <t>PRODUCTION ALLOCATORS</t>
  </si>
  <si>
    <t>Average Revenue per kWh (adjusted total)</t>
  </si>
  <si>
    <t>DEMAND (12 CP GEN LEV)-PROD</t>
  </si>
  <si>
    <t>DEMPROD</t>
  </si>
  <si>
    <t>DEMAND (12 CP GEN LEV)-FERC</t>
  </si>
  <si>
    <t>DEMFERC</t>
  </si>
  <si>
    <t>DEMAND (12 CP GEN)-PROD VA</t>
  </si>
  <si>
    <t>DPRODVA</t>
  </si>
  <si>
    <t>DEMAND (12 CP GEN)-PROD KY</t>
  </si>
  <si>
    <t>DPRODKY</t>
  </si>
  <si>
    <t>DEM (12 CP GEN LV)-FERC POST</t>
  </si>
  <si>
    <t>DEMFERCP</t>
  </si>
  <si>
    <t>DEM (12 CP GEN LV)-NON VA</t>
  </si>
  <si>
    <t>DEMPRODNV</t>
  </si>
  <si>
    <t>TRANSMISSION ALLOCATORS</t>
  </si>
  <si>
    <t>DEMAND (12 CP GEN LEV)-TRAN</t>
  </si>
  <si>
    <t>DEMTRAN</t>
  </si>
  <si>
    <t>DEMAND (12 CP GEN LEV)-VA</t>
  </si>
  <si>
    <t>DEMVA</t>
  </si>
  <si>
    <t>DEM (12 CP GN LEV)-TRAN FERC</t>
  </si>
  <si>
    <t>DEMFERCT</t>
  </si>
  <si>
    <t>DEM (12 CP GN)-TR FERC POST</t>
  </si>
  <si>
    <t>DFERCTP</t>
  </si>
  <si>
    <t>DISTRIBUTION ALLOCATORS</t>
  </si>
  <si>
    <t>OM568</t>
  </si>
  <si>
    <t>OM570</t>
  </si>
  <si>
    <t>OM571</t>
  </si>
  <si>
    <t>OMSUB2</t>
  </si>
  <si>
    <t>Operation and Maintenance Expenses Less Purchase Power</t>
  </si>
  <si>
    <t>Cash Working Capital - Operation and Maintenance Expenses</t>
  </si>
  <si>
    <t>DEPRTP</t>
  </si>
  <si>
    <t>DEPRAADJ</t>
  </si>
  <si>
    <t>P352</t>
  </si>
  <si>
    <t>OTHER</t>
  </si>
  <si>
    <t xml:space="preserve">  CWIP Transmission</t>
  </si>
  <si>
    <t>ADEPRD1</t>
  </si>
  <si>
    <t>ADEPRD11</t>
  </si>
  <si>
    <t>ADEPRD12</t>
  </si>
  <si>
    <t xml:space="preserve">  CWIP General Plant</t>
  </si>
  <si>
    <t xml:space="preserve">  CWIP Distribution Plant</t>
  </si>
  <si>
    <t xml:space="preserve">  RWIP</t>
  </si>
  <si>
    <t>METER EXPENSES - LOAD MANAGEMENT</t>
  </si>
  <si>
    <t>OM586x</t>
  </si>
  <si>
    <t>RECORDS AND COLLECTION</t>
  </si>
  <si>
    <t>MISC CUST ACCOUNTS</t>
  </si>
  <si>
    <t>CUSTOMER ASSISTANCE EXP-LOAD MGMT</t>
  </si>
  <si>
    <t>OM908x</t>
  </si>
  <si>
    <t>INFORM AND INSTRUC -LOAD MGMT</t>
  </si>
  <si>
    <t>OM909x</t>
  </si>
  <si>
    <t xml:space="preserve">    AFUDC-INTEREST POST FERC</t>
  </si>
  <si>
    <t xml:space="preserve"> TOTAL DEDUCTIONS</t>
  </si>
  <si>
    <t xml:space="preserve"> PLUS: ABOVE THE LINE DIFF:</t>
  </si>
  <si>
    <t xml:space="preserve">  OTHER</t>
  </si>
  <si>
    <t xml:space="preserve"> TOTAL PERMANENT DIFFERENCES</t>
  </si>
  <si>
    <t>STATE TAX</t>
  </si>
  <si>
    <t>FS State Taxes</t>
  </si>
  <si>
    <t>STATE TAX TOTAL</t>
  </si>
  <si>
    <t>FEDERAL TAXES @ 35%</t>
  </si>
  <si>
    <t>EXCESS DEFERRED TAXES</t>
  </si>
  <si>
    <t>FS Federal Taxes</t>
  </si>
  <si>
    <t xml:space="preserve"> FEDERAL TAX TOTAL</t>
  </si>
  <si>
    <t>STATE TAX RATE</t>
  </si>
  <si>
    <t>FEDERAL TAX RATE - CURRENT</t>
  </si>
  <si>
    <t>1 - EFFECTIVE TAX RATE</t>
  </si>
  <si>
    <t>EFFECTIVE TAX RATE</t>
  </si>
  <si>
    <t>FACTOR FOR TAXABLE BASIS</t>
  </si>
  <si>
    <t xml:space="preserve"> TOTAL CUSTOMER SERVICE AND SALES LABOR</t>
  </si>
  <si>
    <t>TOTAL PROD, TRAN, DIST, CUSTOMER LABOR</t>
  </si>
  <si>
    <t>ADMIN &amp; GENERAL LABOR</t>
  </si>
  <si>
    <t xml:space="preserve">      FERC 920</t>
  </si>
  <si>
    <t xml:space="preserve">      FERC 921</t>
  </si>
  <si>
    <t xml:space="preserve">      FERC 922</t>
  </si>
  <si>
    <t xml:space="preserve">      FERC 923</t>
  </si>
  <si>
    <t xml:space="preserve">      FERC 924</t>
  </si>
  <si>
    <t xml:space="preserve">      FERC 925</t>
  </si>
  <si>
    <t xml:space="preserve">      FERC 926</t>
  </si>
  <si>
    <t xml:space="preserve">      FERC 927</t>
  </si>
  <si>
    <t xml:space="preserve">      FERC 929</t>
  </si>
  <si>
    <t xml:space="preserve">      FERC 930</t>
  </si>
  <si>
    <t xml:space="preserve">      FERC 931</t>
  </si>
  <si>
    <t xml:space="preserve">      FERC 935</t>
  </si>
  <si>
    <t xml:space="preserve"> TOTAL ADMIN &amp; GENERAL  LABOR</t>
  </si>
  <si>
    <t>TOTAL LABOR EXPENSES</t>
  </si>
  <si>
    <t>Distribution Customer</t>
  </si>
  <si>
    <t>Unit Revenue Requirement @ Current Class Revenues</t>
  </si>
  <si>
    <t xml:space="preserve">Distribution Demand </t>
  </si>
  <si>
    <t>Adjustment to reflect Full Year of ECR Roll-in</t>
  </si>
  <si>
    <t>TRANSM PLANT VA</t>
  </si>
  <si>
    <t>TRPLTVA</t>
  </si>
  <si>
    <t>TOT ACCT 364 &amp; 365-OVHD LINE</t>
  </si>
  <si>
    <t>TOTAL ELECTRIC PLANT</t>
  </si>
  <si>
    <t>PLANT</t>
  </si>
  <si>
    <t>TOTAL ELECTRIC PLANT KY</t>
  </si>
  <si>
    <t>PLANTKY</t>
  </si>
  <si>
    <t>TOTAL ELECTRIC PLANT KY &amp; FERC</t>
  </si>
  <si>
    <t>PLANTKF</t>
  </si>
  <si>
    <t>TOTAL ELECTRIC PLANT VA</t>
  </si>
  <si>
    <t>PLANTVA</t>
  </si>
  <si>
    <t>TOTAL STEAM PROD PLANT</t>
  </si>
  <si>
    <t>STMPLT</t>
  </si>
  <si>
    <t>TOTAL HYDRAULIC PROD PLANT</t>
  </si>
  <si>
    <t>HYDPLT</t>
  </si>
  <si>
    <t>TOTAL OTHER PROD PLANT</t>
  </si>
  <si>
    <t>OTHPLT</t>
  </si>
  <si>
    <t>Kentucky Utilities Company</t>
  </si>
  <si>
    <t>Services Account 369</t>
  </si>
  <si>
    <t>Rate Class</t>
  </si>
  <si>
    <t>DEM368K</t>
  </si>
  <si>
    <t>DIR3602V</t>
  </si>
  <si>
    <t>DEM368V</t>
  </si>
  <si>
    <t xml:space="preserve">DIR ASSIGN ACC.DEPRC.DIST.VA&amp;TN </t>
  </si>
  <si>
    <t>DIRACDEP</t>
  </si>
  <si>
    <t>DIR ASSIGN CWIP DIST VA &amp; TN</t>
  </si>
  <si>
    <t>DIRCWIP</t>
  </si>
  <si>
    <t>DIR ASSIGN ACC.DFDTX.DIST.VA&amp;TN</t>
  </si>
  <si>
    <t>DIRACDFTX</t>
  </si>
  <si>
    <t>DIR ASSIGN ACC.ITC.DIST.VA &amp; TN</t>
  </si>
  <si>
    <t>DIRACITC</t>
  </si>
  <si>
    <t>DIR ASSIGN 203(E) EXCESS</t>
  </si>
  <si>
    <t>DIR203E</t>
  </si>
  <si>
    <t>DIR ASSIGN ITC ADJ</t>
  </si>
  <si>
    <t>DIRITCADJ</t>
  </si>
  <si>
    <t>DIR ASSIGN DEFERRED FUEL-VIRGINIA</t>
  </si>
  <si>
    <t>DFUELVA</t>
  </si>
  <si>
    <t>ENERGY</t>
  </si>
  <si>
    <t>ENERGY (MWH AT GEN LEVEL)</t>
  </si>
  <si>
    <t>ENERGY (MWH RETAIL @ GEN LEVEL)</t>
  </si>
  <si>
    <t>ENERGY1</t>
  </si>
  <si>
    <t>CUSTOMER</t>
  </si>
  <si>
    <t>DIR ASSIGN ACCT 369-SERV KY</t>
  </si>
  <si>
    <t>CUST369K</t>
  </si>
  <si>
    <t>DIR ASSIGN ACCT 370 METERS KY</t>
  </si>
  <si>
    <t>CUST370K</t>
  </si>
  <si>
    <t>DIR ASN ACCT 371 CUST INST KY</t>
  </si>
  <si>
    <t>CUST371K</t>
  </si>
  <si>
    <t>DIR ASGN ACCT 373 ST LIGHT KY</t>
  </si>
  <si>
    <t>CUST373K</t>
  </si>
  <si>
    <t>CUSTOMER ADVANCES</t>
  </si>
  <si>
    <t>CUSTADV</t>
  </si>
  <si>
    <t>CUSTOMER DEPOSITS</t>
  </si>
  <si>
    <t>CUSTDEP</t>
  </si>
  <si>
    <t>DIR ASSIGN 902-METER READING</t>
  </si>
  <si>
    <t>CUST902</t>
  </si>
  <si>
    <t>DIR ASSIGN 903-CUSTOMER REC</t>
  </si>
  <si>
    <t>CUST903</t>
  </si>
  <si>
    <t>DIR ASSIGN 904-UNCOLL ACCTS</t>
  </si>
  <si>
    <t>CUST904</t>
  </si>
  <si>
    <t>DIR ASSIGN ACCT 369-SERV VA</t>
  </si>
  <si>
    <t>CUST369V</t>
  </si>
  <si>
    <t>DIR ASSIGN ACCT 370 METERS VA</t>
  </si>
  <si>
    <t>CUST370V</t>
  </si>
  <si>
    <t>DIR ASN ACCT 371 CUST INST VA</t>
  </si>
  <si>
    <t>CUST371V</t>
  </si>
  <si>
    <t>DIR ASGN ACCT 373 ST LIGHT VA</t>
  </si>
  <si>
    <t>CUST373V</t>
  </si>
  <si>
    <t>DIR ASSIGN 908-CUST ASSIST</t>
  </si>
  <si>
    <t>CUST908</t>
  </si>
  <si>
    <t>DIR ASSIGN 909-INFO &amp; INSTRCT</t>
  </si>
  <si>
    <t>CUST909</t>
  </si>
  <si>
    <t>DIR ASSIGN 912-DEM &amp; SELLING</t>
  </si>
  <si>
    <t>CUST912</t>
  </si>
  <si>
    <t>DIR ASSIGN 913-ADVERTISING</t>
  </si>
  <si>
    <t>CUST913</t>
  </si>
  <si>
    <t>CUSTOMER ANNUALIZATION</t>
  </si>
  <si>
    <t>CUSTANN</t>
  </si>
  <si>
    <t>CUSTOMER DEPOSITS INTEREST</t>
  </si>
  <si>
    <t>CUSTDEPI</t>
  </si>
  <si>
    <t>INTERNALLY DEVELOPED</t>
  </si>
  <si>
    <t>PROD-TRANSM-DISTR-GENL PLT</t>
  </si>
  <si>
    <t>PTDGPLT</t>
  </si>
  <si>
    <t>PROD-TRANSM-DISTR-GENL PLT KY</t>
  </si>
  <si>
    <t>KURETPLT</t>
  </si>
  <si>
    <t>ALLOCATED O&amp;M LABOR EXPENSE</t>
  </si>
  <si>
    <t>LABOR</t>
  </si>
  <si>
    <t>TOTAL STEAM PROD PLANT-SYSTEM</t>
  </si>
  <si>
    <t>STMSYS</t>
  </si>
  <si>
    <t>ALLOCATED NON A&amp;G LABOR EXPENSE</t>
  </si>
  <si>
    <t>PTDCUSTLABOR</t>
  </si>
  <si>
    <t>TOT HYDRAULIC PROD PLANT-SYS</t>
  </si>
  <si>
    <t>HYDSYS</t>
  </si>
  <si>
    <t>TOTAL OTHER PROD PLANT-SYS</t>
  </si>
  <si>
    <t>OTHSYS</t>
  </si>
  <si>
    <t>TRANSM KENTUCKY SYSTEM PROP</t>
  </si>
  <si>
    <t>KYTRPLT</t>
  </si>
  <si>
    <t>TRANSM VIRGINIA PROPERTY</t>
  </si>
  <si>
    <t>VATRPLT</t>
  </si>
  <si>
    <t>TRANSM VIRGINIA PROP TOTAL</t>
  </si>
  <si>
    <t>VATRPLTT</t>
  </si>
  <si>
    <t>TOTAL DISTRIBUTION PLANT</t>
  </si>
  <si>
    <t>DISTPLT</t>
  </si>
  <si>
    <t>TOTAL DIST PLANT KY &amp; FERC</t>
  </si>
  <si>
    <t>DISTPLTKF</t>
  </si>
  <si>
    <t>TOTAL GENERAL PLANT</t>
  </si>
  <si>
    <t>GENPLT</t>
  </si>
  <si>
    <t>ACCT 302-FRANCHISE</t>
  </si>
  <si>
    <t>Misc Service Revenue Allocator</t>
  </si>
  <si>
    <t>YREND</t>
  </si>
  <si>
    <t>Distribution Demand (Per Kwh or Kw)</t>
  </si>
  <si>
    <t>Distribution Demand Margin (Per Kwh or Kw)</t>
  </si>
  <si>
    <t>Total Distribution Demand (Per Kwh or Kw)</t>
  </si>
  <si>
    <t>DIR ASSIGN ACC ITC VA</t>
  </si>
  <si>
    <t>TRANSM PLANT VA &amp; 500 KV</t>
  </si>
  <si>
    <t>TOTAL 201(E) EXCESS</t>
  </si>
  <si>
    <t>TOTAL STEAM OPERATIONS LABOR</t>
  </si>
  <si>
    <t>TOTAL STEAM MAINTENANCE LABOR</t>
  </si>
  <si>
    <t>TOTAL HYDRO OPERATIONS LABOR</t>
  </si>
  <si>
    <t>TOTAL HYDRO MAINTENANCE LABOR</t>
  </si>
  <si>
    <t>TOTAL OTHER OPERATIONS LABOR</t>
  </si>
  <si>
    <t>TOTAL OTHER MAINTENANCE LABOR</t>
  </si>
  <si>
    <t>CUST SERVICES EXP 908-910</t>
  </si>
  <si>
    <t>SUMMARY OF RESULTS AS ALLOCATED</t>
  </si>
  <si>
    <t>ELEMENTS OF RATE BASE</t>
  </si>
  <si>
    <t xml:space="preserve"> PLANT IN SERVICE</t>
  </si>
  <si>
    <t xml:space="preserve"> LESS RESERVE FOR DEPRECIATION</t>
  </si>
  <si>
    <t xml:space="preserve">     NET PLANT IN SERVICE</t>
  </si>
  <si>
    <t xml:space="preserve"> CONST WORK IN PROGRESS</t>
  </si>
  <si>
    <t xml:space="preserve">     NET PLANT</t>
  </si>
  <si>
    <t>ADD:</t>
  </si>
  <si>
    <t xml:space="preserve">      FERC 591</t>
  </si>
  <si>
    <t>Total Line Transformers</t>
  </si>
  <si>
    <t>Merger Surcerdit Revenue</t>
  </si>
  <si>
    <t>MSCREV</t>
  </si>
  <si>
    <t xml:space="preserve">    MATERIALS &amp; SUPPLIES</t>
  </si>
  <si>
    <t xml:space="preserve">    FUEL INVENTORY</t>
  </si>
  <si>
    <t>Customer Services -- Weighted cost of Services</t>
  </si>
  <si>
    <t>Steam Production Plant</t>
  </si>
  <si>
    <t>Total Steam Production Plant</t>
  </si>
  <si>
    <t>PSTPR</t>
  </si>
  <si>
    <t>Other Production Plant</t>
  </si>
  <si>
    <t>Total Other Production Plant</t>
  </si>
  <si>
    <t>POTPR</t>
  </si>
  <si>
    <t>Total Production Plant</t>
  </si>
  <si>
    <t>PPRTL</t>
  </si>
  <si>
    <t>TOTAL COMMON PLANT</t>
  </si>
  <si>
    <t>PCOM</t>
  </si>
  <si>
    <t>Residential</t>
  </si>
  <si>
    <t>General</t>
  </si>
  <si>
    <t xml:space="preserve">  Operating Income Before Income Taxes</t>
  </si>
  <si>
    <t>Add (deduct)</t>
  </si>
  <si>
    <t xml:space="preserve">  Interest Expense Applicable to Operating Income</t>
  </si>
  <si>
    <t xml:space="preserve">  Book Depreciation Nondeductible for Tax Purposes</t>
  </si>
  <si>
    <t>Net Provision for Federal Income Taxes</t>
  </si>
  <si>
    <t>Total Federal and State Income Taxes</t>
  </si>
  <si>
    <t>TIT</t>
  </si>
  <si>
    <t xml:space="preserve">   State and Federal Income Taxes</t>
  </si>
  <si>
    <t>Calculation of Pro-Forma State Income Taxes</t>
  </si>
  <si>
    <t xml:space="preserve">  Pro-Forma Operating Income Before Income Taxes</t>
  </si>
  <si>
    <t>Calculation of Pro-Forma Federal Income Taxes</t>
  </si>
  <si>
    <t>Adjustments to Operating Expenses:</t>
  </si>
  <si>
    <t>Cost of Service Summary -- Pro-Forma</t>
  </si>
  <si>
    <t>OPERATION SUPERVISION &amp; ENGINEERING</t>
  </si>
  <si>
    <t>OM500</t>
  </si>
  <si>
    <t>FUEL</t>
  </si>
  <si>
    <t>OM501</t>
  </si>
  <si>
    <t>STEAM EXPENSES</t>
  </si>
  <si>
    <t>OM502</t>
  </si>
  <si>
    <t>ELECTRIC EXPENSES</t>
  </si>
  <si>
    <t>OM505</t>
  </si>
  <si>
    <t>Steam Power Generation Operation Expenses</t>
  </si>
  <si>
    <t>MISC. STEAM POWER EXPENSES</t>
  </si>
  <si>
    <t>OM506</t>
  </si>
  <si>
    <t>Total Steam Power Operation Expenses</t>
  </si>
  <si>
    <t>Steam Power Generation Maintenance Expenses</t>
  </si>
  <si>
    <t>OM510</t>
  </si>
  <si>
    <t>OM511</t>
  </si>
  <si>
    <t>MAINTENANCE OF BOILER PLANT</t>
  </si>
  <si>
    <t>MAINTENANCE OF ELECTRIC PLANT</t>
  </si>
  <si>
    <t>OM512</t>
  </si>
  <si>
    <t>OM513</t>
  </si>
  <si>
    <t>MAINTENANCE OF MISC STEAM PLANT</t>
  </si>
  <si>
    <t>OM514</t>
  </si>
  <si>
    <t>Total Steam Power Generation Maintenance Expense</t>
  </si>
  <si>
    <t>Total Steam Power Generation Expense</t>
  </si>
  <si>
    <t>Other Power Generation Operation Expense</t>
  </si>
  <si>
    <t>OM546</t>
  </si>
  <si>
    <t>OM547</t>
  </si>
  <si>
    <t>GENERATION EXPENSE</t>
  </si>
  <si>
    <t>OM548</t>
  </si>
  <si>
    <t xml:space="preserve">MISC OTHER POWER GENERATION </t>
  </si>
  <si>
    <t>OM549</t>
  </si>
  <si>
    <t>OM550</t>
  </si>
  <si>
    <t>Total Other Power Generation Expenses</t>
  </si>
  <si>
    <t>Other Power Generation Maintenance Expense</t>
  </si>
  <si>
    <t>OM551</t>
  </si>
  <si>
    <t>OM552</t>
  </si>
  <si>
    <t>MAINTENANCE OF GENERATING &amp; ELEC PLANT</t>
  </si>
  <si>
    <t>OM553</t>
  </si>
  <si>
    <t>MAINTENANCE OF MISC OTHER POWER GEN PLT</t>
  </si>
  <si>
    <t>OM554</t>
  </si>
  <si>
    <t>Total Other Power Generation Expense</t>
  </si>
  <si>
    <t>Total Other Power Generation Maintenance Expense</t>
  </si>
  <si>
    <t>Total Station Expense</t>
  </si>
  <si>
    <t>Other Power Supply Expenses</t>
  </si>
  <si>
    <t>PURCHASED POWER OPTIONS</t>
  </si>
  <si>
    <t>OMO555</t>
  </si>
  <si>
    <t>BROKERAGE FEES</t>
  </si>
  <si>
    <t>OMB555</t>
  </si>
  <si>
    <t>MISO TRANSMISSION EXPENSES</t>
  </si>
  <si>
    <t>OMM555</t>
  </si>
  <si>
    <t>SYSTEM CONTROL AND LOAD DISPATCH</t>
  </si>
  <si>
    <t>OM556</t>
  </si>
  <si>
    <t>Total Electric Power Generation Expenses</t>
  </si>
  <si>
    <t>TRANSMISSION OF ELECTRICITY BY OTHERS</t>
  </si>
  <si>
    <t>OM565</t>
  </si>
  <si>
    <t>OM567</t>
  </si>
  <si>
    <t>STRUCTURES</t>
  </si>
  <si>
    <t>OM569</t>
  </si>
  <si>
    <t>UNDERGROUND LINES</t>
  </si>
  <si>
    <t>OM572</t>
  </si>
  <si>
    <t>MISC PLANT</t>
  </si>
  <si>
    <t>OM573</t>
  </si>
  <si>
    <t>OM591</t>
  </si>
  <si>
    <t>MISCELLANEOUS DISTRIBUTION EXPENSES</t>
  </si>
  <si>
    <t>OM598</t>
  </si>
  <si>
    <t>Total Other Power Supply Expenses</t>
  </si>
  <si>
    <t>Production, Transmission and Distribution Expenses</t>
  </si>
  <si>
    <t>Sub-Total Prod, Trans, Dist, Cust Acct and Cust Service</t>
  </si>
  <si>
    <t>ADMINISTRATIVE EXPENSES TRANSFERRED</t>
  </si>
  <si>
    <t>OM922</t>
  </si>
  <si>
    <t>OM935</t>
  </si>
  <si>
    <t>LB500</t>
  </si>
  <si>
    <t>LB501</t>
  </si>
  <si>
    <t>LB502</t>
  </si>
  <si>
    <t>LB505</t>
  </si>
  <si>
    <t>LB506</t>
  </si>
  <si>
    <t>LB510</t>
  </si>
  <si>
    <t>LB511</t>
  </si>
  <si>
    <t>LB512</t>
  </si>
  <si>
    <t>LB513</t>
  </si>
  <si>
    <t>LB514</t>
  </si>
  <si>
    <t>LB546</t>
  </si>
  <si>
    <t>LB547</t>
  </si>
  <si>
    <t>LB548</t>
  </si>
  <si>
    <t>LB549</t>
  </si>
  <si>
    <t>LB550</t>
  </si>
  <si>
    <t>LB551</t>
  </si>
  <si>
    <t>LB552</t>
  </si>
  <si>
    <t>LB553</t>
  </si>
  <si>
    <t>LB554</t>
  </si>
  <si>
    <t>SOFTWARE</t>
  </si>
  <si>
    <t>Hydraulic Production Plant</t>
  </si>
  <si>
    <t>Total Hydraulic Production Plant</t>
  </si>
  <si>
    <t>PHDPR</t>
  </si>
  <si>
    <t>KENTUCKY SYSTEM PROPERTY</t>
  </si>
  <si>
    <t>VIRGINIA PROPERTY - 500 KV LINE</t>
  </si>
  <si>
    <t xml:space="preserve">  TOTAL ACCTS 360-362</t>
  </si>
  <si>
    <t xml:space="preserve">  364 &amp; 365-OVERHEAD LINES</t>
  </si>
  <si>
    <t xml:space="preserve">  366 &amp; 367-UNDERGROUND LINES</t>
  </si>
  <si>
    <t xml:space="preserve">  368-TRANSFORMERS - POWER POOL</t>
  </si>
  <si>
    <t xml:space="preserve">  368-TRANSFORMERS - ALL OTHER</t>
  </si>
  <si>
    <t xml:space="preserve">  369-SERVICES</t>
  </si>
  <si>
    <t xml:space="preserve">  370-METERS</t>
  </si>
  <si>
    <t xml:space="preserve">  371-CUSTOMER INSTALLATION</t>
  </si>
  <si>
    <t xml:space="preserve">  373-STREET LIGHTING</t>
  </si>
  <si>
    <t xml:space="preserve">  Other Production</t>
  </si>
  <si>
    <t xml:space="preserve">  Hydraulic Production</t>
  </si>
  <si>
    <t xml:space="preserve">  Steam Production</t>
  </si>
  <si>
    <t xml:space="preserve">  Transmission - Kentucky System Property</t>
  </si>
  <si>
    <t xml:space="preserve">  Transmission - Virginia Property</t>
  </si>
  <si>
    <t xml:space="preserve">  Intangible Plant</t>
  </si>
  <si>
    <t xml:space="preserve">  Distribution</t>
  </si>
  <si>
    <t xml:space="preserve">  CWIP Production</t>
  </si>
  <si>
    <t>Hydraulic Power Generation Operation Expenses</t>
  </si>
  <si>
    <t>Hydraulic Power Generation Maintenance Expenses</t>
  </si>
  <si>
    <t>MAINT. OF RESERVES, DAMS, AND WATERWAYS</t>
  </si>
  <si>
    <t>Total Hydraulic Power Operation Expenses</t>
  </si>
  <si>
    <t>Total Hydraulic Power Generation Expense</t>
  </si>
  <si>
    <t>Total Hydraulic Power Generation Maint. Expense</t>
  </si>
  <si>
    <t>HYDRAULIC EXPENSES</t>
  </si>
  <si>
    <t>WATER FOR POWER</t>
  </si>
  <si>
    <t>/rfra21.e200~/rfrf1.i20~/wgpd/rfhb66.b68~/rfhb70.b76~</t>
  </si>
  <si>
    <t>runprt4</t>
  </si>
  <si>
    <t>/rfra21.e200~/rfrf1.i20~/wgpd/rfhb66.b69~/rfhb71.b76~</t>
  </si>
  <si>
    <t>runprt5</t>
  </si>
  <si>
    <t>/rfra21.e200~/rfrf1.i20~/wgpd/rfhb66.b70~/rfhb72.b76~</t>
  </si>
  <si>
    <t>runprt6</t>
  </si>
  <si>
    <t>/rfra21.e200~/rfrf1.i20~/wgpd/rfhb66.b71~/rfhb73.b76~</t>
  </si>
  <si>
    <t>runprt7</t>
  </si>
  <si>
    <t>/rfra21.e200~/rfrf1.i20~/wgpd/rfhb66.b72~/rfhb74.b76~</t>
  </si>
  <si>
    <t>runprt8</t>
  </si>
  <si>
    <t>/rfra21.e200~/rfrf1.i20~/wgpd/rfhb66.b73~/rfhb75.b76~</t>
  </si>
  <si>
    <t>runprt9</t>
  </si>
  <si>
    <t>/rfra21.e200~/rfrf1.i20~/wgpd/rfhb66.b74~/rfhb76~</t>
  </si>
  <si>
    <t>func</t>
  </si>
  <si>
    <t>{branch0}</t>
  </si>
  <si>
    <t>branch0</t>
  </si>
  <si>
    <t>{windowsoff}</t>
  </si>
  <si>
    <t>branch46</t>
  </si>
  <si>
    <t>{menubranch distsave}</t>
  </si>
  <si>
    <t>rws</t>
  </si>
  <si>
    <t>mmenu0</t>
  </si>
  <si>
    <t>exhib</t>
  </si>
  <si>
    <t>\Z</t>
  </si>
  <si>
    <t>{IF @CELLPOINTER("row")&lt;211}{BEEP}                   CURSOR MUST BE IN WORKSHEET COST STUDY AREA!{WAIT @NOW+@TIME(0,0,2)}{ESC}{QUIT}</t>
  </si>
  <si>
    <t>MAINTENANCE OF MISC HYDRAULIC PLANT</t>
  </si>
  <si>
    <t>OM535</t>
  </si>
  <si>
    <t>OM536</t>
  </si>
  <si>
    <t>OM537</t>
  </si>
  <si>
    <t>OM538</t>
  </si>
  <si>
    <t>OM539</t>
  </si>
  <si>
    <t>OM541</t>
  </si>
  <si>
    <t>OM542</t>
  </si>
  <si>
    <t>OM543</t>
  </si>
  <si>
    <t>OM544</t>
  </si>
  <si>
    <t>OM545</t>
  </si>
  <si>
    <t>Production, Transmission and Distribution Labor Expenses</t>
  </si>
  <si>
    <t>Total Production Expense</t>
  </si>
  <si>
    <t>P368a</t>
  </si>
  <si>
    <t>LPREX</t>
  </si>
  <si>
    <t>OM507</t>
  </si>
  <si>
    <t>Ref</t>
  </si>
  <si>
    <t>Production Demand</t>
  </si>
  <si>
    <t>Production Energy</t>
  </si>
  <si>
    <t>Inter.</t>
  </si>
  <si>
    <t>Peak</t>
  </si>
  <si>
    <t>Specific</t>
  </si>
  <si>
    <t>Distribution Poles</t>
  </si>
  <si>
    <t>Distribution Substation</t>
  </si>
  <si>
    <t>Sales Expense</t>
  </si>
  <si>
    <t>Customer Service &amp; Info.</t>
  </si>
  <si>
    <t>Distribution St. &amp; Cust. Lighting</t>
  </si>
  <si>
    <t>LBPPEB</t>
  </si>
  <si>
    <t>LBPPEI</t>
  </si>
  <si>
    <t>LBPPEP</t>
  </si>
  <si>
    <t>LBTRB</t>
  </si>
  <si>
    <t>LBTRI</t>
  </si>
  <si>
    <t>LBTRP</t>
  </si>
  <si>
    <t>LBTRT</t>
  </si>
  <si>
    <t>LBDPS</t>
  </si>
  <si>
    <t>LBDSG</t>
  </si>
  <si>
    <t>LBDPLS</t>
  </si>
  <si>
    <t>LBDPLD</t>
  </si>
  <si>
    <t>LBDPLC</t>
  </si>
  <si>
    <t>LBDSLD</t>
  </si>
  <si>
    <t>LBDSLC</t>
  </si>
  <si>
    <t>LBDLT</t>
  </si>
  <si>
    <t>LBDLTD</t>
  </si>
  <si>
    <t>LBDLTC</t>
  </si>
  <si>
    <t>LBDLTT</t>
  </si>
  <si>
    <t>LBDSC</t>
  </si>
  <si>
    <t>LBDMC</t>
  </si>
  <si>
    <t>LBDSCL</t>
  </si>
  <si>
    <t>LBCAE</t>
  </si>
  <si>
    <t>LBCSI</t>
  </si>
  <si>
    <t>LBSEC</t>
  </si>
  <si>
    <t>DEPPDB</t>
  </si>
  <si>
    <t>DEPPDI</t>
  </si>
  <si>
    <t>DEPPDP</t>
  </si>
  <si>
    <t>DEPPEB</t>
  </si>
  <si>
    <t>DEPPEI</t>
  </si>
  <si>
    <t>DEPPEP</t>
  </si>
  <si>
    <t>DEPPT</t>
  </si>
  <si>
    <t>DETRB</t>
  </si>
  <si>
    <t>DETRI</t>
  </si>
  <si>
    <t>DETRP</t>
  </si>
  <si>
    <t>DETRT</t>
  </si>
  <si>
    <t>DEDPS</t>
  </si>
  <si>
    <t>DEDSG</t>
  </si>
  <si>
    <t>DEDPLS</t>
  </si>
  <si>
    <t>DEDPLD</t>
  </si>
  <si>
    <t>DEDPLC</t>
  </si>
  <si>
    <t>DEDSLD</t>
  </si>
  <si>
    <t>DEDSLC</t>
  </si>
  <si>
    <t>DEDLT</t>
  </si>
  <si>
    <t>DEDLTD</t>
  </si>
  <si>
    <t>DEDLTC</t>
  </si>
  <si>
    <t>DEDLTT</t>
  </si>
  <si>
    <t>DEDSC</t>
  </si>
  <si>
    <t>DEDMC</t>
  </si>
  <si>
    <t>DEDSCL</t>
  </si>
  <si>
    <t>DECAE</t>
  </si>
  <si>
    <t>DECSI</t>
  </si>
  <si>
    <t>DESEC</t>
  </si>
  <si>
    <t>DET</t>
  </si>
  <si>
    <t>OTAX</t>
  </si>
  <si>
    <t>PTPPDB</t>
  </si>
  <si>
    <t>PTPPDI</t>
  </si>
  <si>
    <t>PTPPDP</t>
  </si>
  <si>
    <t>PTPPEB</t>
  </si>
  <si>
    <t>PTPPEI</t>
  </si>
  <si>
    <t>PTPPEP</t>
  </si>
  <si>
    <t>PTPPT</t>
  </si>
  <si>
    <t>PTTRB</t>
  </si>
  <si>
    <t>PTTRI</t>
  </si>
  <si>
    <t>PTTRP</t>
  </si>
  <si>
    <t>PTTRT</t>
  </si>
  <si>
    <t>PTDPS</t>
  </si>
  <si>
    <t>PTDSG</t>
  </si>
  <si>
    <t>PTDPLS</t>
  </si>
  <si>
    <t>PTDPLD</t>
  </si>
  <si>
    <t>PTDPLC</t>
  </si>
  <si>
    <t>PTDSLD</t>
  </si>
  <si>
    <t>PTDSLC</t>
  </si>
  <si>
    <t>PTDLT</t>
  </si>
  <si>
    <t>PTDLTD</t>
  </si>
  <si>
    <t>PTDLTC</t>
  </si>
  <si>
    <t>PTDLTT</t>
  </si>
  <si>
    <t>PTDSC</t>
  </si>
  <si>
    <t>PTDMC</t>
  </si>
  <si>
    <t>PTDSCL</t>
  </si>
  <si>
    <t>PTCAE</t>
  </si>
  <si>
    <t>PTCSI</t>
  </si>
  <si>
    <t>PTSEC</t>
  </si>
  <si>
    <t>OTPPDB</t>
  </si>
  <si>
    <t>OTPPDI</t>
  </si>
  <si>
    <t>OTPPDP</t>
  </si>
  <si>
    <t>OTPPEB</t>
  </si>
  <si>
    <t>OTPPEI</t>
  </si>
  <si>
    <t>OTPPEP</t>
  </si>
  <si>
    <t>OTTRB</t>
  </si>
  <si>
    <t>OTTRI</t>
  </si>
  <si>
    <t>OTTRP</t>
  </si>
  <si>
    <t>OTTRT</t>
  </si>
  <si>
    <t>OTDPS</t>
  </si>
  <si>
    <t>OTDSG</t>
  </si>
  <si>
    <t>OTDPLS</t>
  </si>
  <si>
    <t>OTDPLD</t>
  </si>
  <si>
    <t>OTDPLC</t>
  </si>
  <si>
    <t>OTDSLD</t>
  </si>
  <si>
    <t>OTDSLC</t>
  </si>
  <si>
    <t>OTDLT</t>
  </si>
  <si>
    <t>OTDLTD</t>
  </si>
  <si>
    <t>OTDLTC</t>
  </si>
  <si>
    <t>OTDLTT</t>
  </si>
  <si>
    <t>OTDSC</t>
  </si>
  <si>
    <t>OTDMC</t>
  </si>
  <si>
    <t>OTDSCL</t>
  </si>
  <si>
    <t>OTCAE</t>
  </si>
  <si>
    <t>OTCSI</t>
  </si>
  <si>
    <t>OTSEC</t>
  </si>
  <si>
    <t>Rate RS</t>
  </si>
  <si>
    <t>Kentucky Utilities</t>
  </si>
  <si>
    <t>LB556</t>
  </si>
  <si>
    <t>LB922</t>
  </si>
  <si>
    <t>LB935</t>
  </si>
  <si>
    <t>LB535</t>
  </si>
  <si>
    <t>LB536</t>
  </si>
  <si>
    <t>LB537</t>
  </si>
  <si>
    <t>LB538</t>
  </si>
  <si>
    <t>LB539</t>
  </si>
  <si>
    <t>LB540</t>
  </si>
  <si>
    <t>LB541</t>
  </si>
  <si>
    <t>LB542</t>
  </si>
  <si>
    <t>LB543</t>
  </si>
  <si>
    <t>LB544</t>
  </si>
  <si>
    <t>LB545</t>
  </si>
  <si>
    <t>LB572</t>
  </si>
  <si>
    <t>LB573</t>
  </si>
  <si>
    <t>Emission Allowance</t>
  </si>
  <si>
    <t>EMALL</t>
  </si>
  <si>
    <t>ADITPP</t>
  </si>
  <si>
    <t>ADITTP</t>
  </si>
  <si>
    <t>{windowsoff}{paneloff}/wtc{home}{goto}spot1~{right 3}{down 10}/wtb{goto}spot2~{windowson}{panelon}</t>
  </si>
  <si>
    <t>{windowsoff}{paneloff}/wtc{home}{goto}spot1~{right 3}{down 10}/wtb{goto}spot3~{windowson}{panelon}</t>
  </si>
  <si>
    <t>{windowsoff}{paneloff}/wtc{home}{goto}spot1~{right 3}{down 10}/wtb{goto}spot4~{windowson}{panelon}</t>
  </si>
  <si>
    <t>{windowsoff}{paneloff}/wtc{home}{goto}spot1~{right 3}{down 10}/wtb{goto}spot5~{windowson}{panelon}</t>
  </si>
  <si>
    <t>DIR ASSIGN LATE PAYMENT REVENUE</t>
  </si>
  <si>
    <t>LATE PAYMENT REVENUES</t>
  </si>
  <si>
    <t xml:space="preserve">    (GAIN) / LOSS DISPOSITION ALLOWANCES</t>
  </si>
  <si>
    <t xml:space="preserve">    (GAIN) / LOSS DISPOSITION PROPERTY-VA</t>
  </si>
  <si>
    <t xml:space="preserve">    CHARITABLE CONTRIBUTIONS-VA</t>
  </si>
  <si>
    <t xml:space="preserve">    INTEREST ON CUSTOMER DEPOSITS-VA</t>
  </si>
  <si>
    <t>Financial Statements Net Operating Income</t>
  </si>
  <si>
    <t>M&amp;S worksheet</t>
  </si>
  <si>
    <t>Virginia 0 (zero) Cash Working Capital (No formula allowed only Lead/Lag Study or Zero)</t>
  </si>
  <si>
    <t>Trial Balance-Accum Prov Post Ret Benefits 228301,228307 (Virginia Only)</t>
  </si>
  <si>
    <t>Advertising</t>
  </si>
  <si>
    <t>Assoc Dues</t>
  </si>
  <si>
    <t>R&amp;D</t>
  </si>
  <si>
    <t>930101</t>
  </si>
  <si>
    <t>GEN PUBLIC INFO EXP</t>
  </si>
  <si>
    <t>930191</t>
  </si>
  <si>
    <t>GEN PUBLIC INFO EXP - INDIRECT</t>
  </si>
  <si>
    <t>930202</t>
  </si>
  <si>
    <t>ASSOCIATION DUES</t>
  </si>
  <si>
    <t>Total 928</t>
  </si>
  <si>
    <t>KY Cases</t>
  </si>
  <si>
    <t>VA Cases</t>
  </si>
  <si>
    <t>TN Cases</t>
  </si>
  <si>
    <t>930250</t>
  </si>
  <si>
    <t>BROKER FEES</t>
  </si>
  <si>
    <t>930272</t>
  </si>
  <si>
    <t>ASSOCIATION DUES - INDIRECT</t>
  </si>
  <si>
    <t>930274</t>
  </si>
  <si>
    <t>RESEARCH AND DEVELOPMENT EXPENSES - INDIRECT</t>
  </si>
  <si>
    <t>930904</t>
  </si>
  <si>
    <t>RESEARCH AND DEVELOPMENT EXPENSES</t>
  </si>
  <si>
    <t>Pulled off Trial Balance - Acct 411.15</t>
  </si>
  <si>
    <t>See Tax Accounting workpapers</t>
  </si>
  <si>
    <t>GAIN/LOSS PROP DISPOSITION (NET)</t>
  </si>
  <si>
    <t>CHARITABLE CONTRIBUTIONS-VA ONLY</t>
  </si>
  <si>
    <t>GAINS/LOSSES-NET OF TAXES (1-.389)</t>
  </si>
  <si>
    <t>Virginia</t>
  </si>
  <si>
    <t>Donations Workpaper</t>
  </si>
  <si>
    <t>Net of Tax (1-.389)</t>
  </si>
  <si>
    <t>50% Limitation</t>
  </si>
  <si>
    <t>Total Co Int on Cust Dep; Interest deduct for Virginia only</t>
  </si>
  <si>
    <t>APPORTIONED STATE TAXABLE INCOME</t>
  </si>
  <si>
    <t>Apportion %</t>
  </si>
  <si>
    <t>(VA Tax workpaper)</t>
  </si>
  <si>
    <t>&gt;Page 3 Financials</t>
  </si>
  <si>
    <t>STATE TAX ADJUSTS FOR FEDERAL</t>
  </si>
  <si>
    <t>Direct Labor plus Burdens</t>
  </si>
  <si>
    <t xml:space="preserve"> 374-ARO COST KY ELEC DISTRIB</t>
  </si>
  <si>
    <t>DEM374K</t>
  </si>
  <si>
    <t>Less: Asset Retirement Obligations</t>
  </si>
  <si>
    <t>RTS</t>
  </si>
  <si>
    <t>Federal &amp; State Income Tax Adjustment</t>
  </si>
  <si>
    <t>Federal &amp; State Income Tax Interest Adjustment</t>
  </si>
  <si>
    <t>Power Service</t>
  </si>
  <si>
    <t>PS-Secondary</t>
  </si>
  <si>
    <t>PS-Primary</t>
  </si>
  <si>
    <t>Time of Day</t>
  </si>
  <si>
    <t>TOD-Secondary</t>
  </si>
  <si>
    <t>Large TOD</t>
  </si>
  <si>
    <t>Retail Transmission Service</t>
  </si>
  <si>
    <t>DSM01</t>
  </si>
  <si>
    <t>YRE01</t>
  </si>
  <si>
    <t>ECRREV01</t>
  </si>
  <si>
    <t>ECRREV02</t>
  </si>
  <si>
    <t>Remove Changes in ECR Roll-In</t>
  </si>
  <si>
    <t>Remove DSM Revenues</t>
  </si>
  <si>
    <t>Rate Base Adjustments</t>
  </si>
  <si>
    <t>(3)</t>
  </si>
  <si>
    <t>Rate Base as Adjusted</t>
  </si>
  <si>
    <t>(4)</t>
  </si>
  <si>
    <t>(5)</t>
  </si>
  <si>
    <t>Return</t>
  </si>
  <si>
    <t>Interest Expenses</t>
  </si>
  <si>
    <t>(10)</t>
  </si>
  <si>
    <t>(11)</t>
  </si>
  <si>
    <t>(12)</t>
  </si>
  <si>
    <t>(13)</t>
  </si>
  <si>
    <t>Total Cost of Service</t>
  </si>
  <si>
    <t>(14)</t>
  </si>
  <si>
    <t>(15)</t>
  </si>
  <si>
    <t>Net Cost of Service</t>
  </si>
  <si>
    <t>(16)</t>
  </si>
  <si>
    <t>Billing Units</t>
  </si>
  <si>
    <t>(17)</t>
  </si>
  <si>
    <t>Unit Costs</t>
  </si>
  <si>
    <t>Production</t>
  </si>
  <si>
    <t>Demand-Related</t>
  </si>
  <si>
    <t>Energy-Related</t>
  </si>
  <si>
    <t>Customer-Related</t>
  </si>
  <si>
    <t>Unit Cost of Service Based on the Cost of Service Study</t>
  </si>
  <si>
    <t>Customer Service Expenses</t>
  </si>
  <si>
    <t>Reference Total</t>
  </si>
  <si>
    <t>Expense Adjustments - Energy</t>
  </si>
  <si>
    <t>Expense Adjustments - Prod. Demand</t>
  </si>
  <si>
    <t>Expense Adjustments - Distribution</t>
  </si>
  <si>
    <t>Expense Adjustments - Other</t>
  </si>
  <si>
    <t>Expense Adjustments - Trans. Demand</t>
  </si>
  <si>
    <t>(18)</t>
  </si>
  <si>
    <t>(19)</t>
  </si>
  <si>
    <t>(20)</t>
  </si>
  <si>
    <t>(21)</t>
  </si>
  <si>
    <t>(22)</t>
  </si>
  <si>
    <t>Expense Adjustments - Total</t>
  </si>
  <si>
    <t>Less: Misc Revenue - Energy</t>
  </si>
  <si>
    <t>Less: Misc Revenue - Other</t>
  </si>
  <si>
    <t>(23)</t>
  </si>
  <si>
    <t>(24)</t>
  </si>
  <si>
    <t>Less: Misc Revenue - Total</t>
  </si>
  <si>
    <t>Check</t>
  </si>
  <si>
    <t>LPAY</t>
  </si>
  <si>
    <t>Late Payment Revenue</t>
  </si>
  <si>
    <t>Curtailable Service Credit</t>
  </si>
  <si>
    <t>(25)</t>
  </si>
  <si>
    <t>(26)</t>
  </si>
  <si>
    <t>FFHEA</t>
  </si>
  <si>
    <t xml:space="preserve">  Franchise Fees and HEA</t>
  </si>
  <si>
    <t>Franchise Fees and HEA</t>
  </si>
  <si>
    <t xml:space="preserve">  Other Accrued Revenue</t>
  </si>
  <si>
    <t>FAC01</t>
  </si>
  <si>
    <t xml:space="preserve">FAC Roll-In </t>
  </si>
  <si>
    <t>Less: Misc Revenue - Tran. Demand</t>
  </si>
  <si>
    <t>Energy Charge</t>
  </si>
  <si>
    <t>Customer Charge</t>
  </si>
  <si>
    <t>Energy (Loss Adjusted)(at Source)</t>
  </si>
  <si>
    <t>Energy (at the Meter)</t>
  </si>
  <si>
    <t xml:space="preserve">  Off-System Sales</t>
  </si>
  <si>
    <t>Cost of Service Summary  -- Adjusted for Uniform Percentage Increase</t>
  </si>
  <si>
    <t>Cost of Service Summary  -- Adjusted for Proposed Increase</t>
  </si>
  <si>
    <t>Inter-Class Subsidies Received (Provided)</t>
  </si>
  <si>
    <t>Rate GS Secondary</t>
  </si>
  <si>
    <t>Rate AES</t>
  </si>
  <si>
    <t>Rate PSS</t>
  </si>
  <si>
    <t>Rate Time of Day Secondary</t>
  </si>
  <si>
    <t>Rate Power Service Primary</t>
  </si>
  <si>
    <t>kWh per Customer</t>
  </si>
  <si>
    <t>WCP LF</t>
  </si>
  <si>
    <t>SCP LF</t>
  </si>
  <si>
    <t>Clas NCP LF</t>
  </si>
  <si>
    <t>SID LF</t>
  </si>
  <si>
    <t>Revenue and Expense Adjust before IT</t>
  </si>
  <si>
    <t>ITADJ</t>
  </si>
  <si>
    <t>Rev per kWh</t>
  </si>
  <si>
    <t>Mismatch in fuel cost recovery</t>
  </si>
  <si>
    <t>Annualize FAC roll-in to base rates</t>
  </si>
  <si>
    <t>Eliminate ECR revenues</t>
  </si>
  <si>
    <t>Customer rate switching adjustment</t>
  </si>
  <si>
    <t>Eliminate DSM expenses</t>
  </si>
  <si>
    <t>Eliminate brokered sales revenues</t>
  </si>
  <si>
    <t>Eliminate DSM revenues</t>
  </si>
  <si>
    <t>Eliminate unbilled revenues</t>
  </si>
  <si>
    <t>Eliminate accrued revenues</t>
  </si>
  <si>
    <t>Pension &amp; post retirement expense adjustment</t>
  </si>
  <si>
    <t>Normalized storm damage expenses</t>
  </si>
  <si>
    <t>Annualized depreciation expenses under current rates</t>
  </si>
  <si>
    <t>Remove out of period items</t>
  </si>
  <si>
    <t>Prior income tax true-ups &amp; adjustments</t>
  </si>
  <si>
    <t>MISO exit fee regulatory asset amortization</t>
  </si>
  <si>
    <t>Property insurance expense adjustment</t>
  </si>
  <si>
    <t>General Management Audit regulatory asset amortization</t>
  </si>
  <si>
    <t>ALLOCATION METHOD: AVG 12 CP (COMBINED CO SYS)</t>
  </si>
  <si>
    <t xml:space="preserve">   12 MONTHS ENDING MARCH 31, 2012</t>
  </si>
  <si>
    <t>DEM (12 CP GEN LEV)-NON FERC</t>
  </si>
  <si>
    <t>DEMTRANNF</t>
  </si>
  <si>
    <t>DIRECT ASSIGN 360 KY</t>
  </si>
  <si>
    <t>DEM360K</t>
  </si>
  <si>
    <t>DIRECT ASSIGN 361 KY</t>
  </si>
  <si>
    <t>DEM361K</t>
  </si>
  <si>
    <t>DIRECT ASSIGN 362 KY</t>
  </si>
  <si>
    <t>DEM362K</t>
  </si>
  <si>
    <t>DIRECT ASSIGN 364 KY</t>
  </si>
  <si>
    <t>DEM364K</t>
  </si>
  <si>
    <t>DIRECT ASSIGN 365 KY</t>
  </si>
  <si>
    <t>DEM365K</t>
  </si>
  <si>
    <t>DIRECT ASSIGN 366 KY</t>
  </si>
  <si>
    <t>DEM366K</t>
  </si>
  <si>
    <t>DIRECT ASSIGN 367 KY</t>
  </si>
  <si>
    <t>DEM367K</t>
  </si>
  <si>
    <t>DIRECT ASSIGN 368 KY</t>
  </si>
  <si>
    <t>DIRECT ASSIGN 374 KY</t>
  </si>
  <si>
    <t>DIRECT ASSIGN 360-VA</t>
  </si>
  <si>
    <t>DEM360V</t>
  </si>
  <si>
    <t>DIRECT ASSIGN 361-VA</t>
  </si>
  <si>
    <t>DEM361V</t>
  </si>
  <si>
    <t>DIRECT ASSIGN 362-VA</t>
  </si>
  <si>
    <t>DEM362V</t>
  </si>
  <si>
    <t>DIRECT ASSIGN 360-362-FERC VA</t>
  </si>
  <si>
    <t>DIRECT ASSIGN 364-VA</t>
  </si>
  <si>
    <t>DEM364V</t>
  </si>
  <si>
    <t>DIRECT ASSIGN 365-VA</t>
  </si>
  <si>
    <t>DEM365V</t>
  </si>
  <si>
    <t>DIRECT ASSIGN 367-VA</t>
  </si>
  <si>
    <t>DEM367V</t>
  </si>
  <si>
    <t>DIRECT ASSIGN 368-VA</t>
  </si>
  <si>
    <t>DIRECT ASSIGN 360-TN</t>
  </si>
  <si>
    <t>DEM360T</t>
  </si>
  <si>
    <t>DIRECT ASSIGN 361-TN</t>
  </si>
  <si>
    <t>DEM361T</t>
  </si>
  <si>
    <t>DIRECT ASSIGN 362-TN</t>
  </si>
  <si>
    <t>DEM362T</t>
  </si>
  <si>
    <t>DIRECT ASSIGN 364-TN</t>
  </si>
  <si>
    <t>DEM364T</t>
  </si>
  <si>
    <t>DIRECT ASSIGN 365-TN</t>
  </si>
  <si>
    <t>DEM365T</t>
  </si>
  <si>
    <t>DIRECT ASSIGN 368-TN</t>
  </si>
  <si>
    <t>DEM368T</t>
  </si>
  <si>
    <t>DIRECT ASSIGN 369-TN</t>
  </si>
  <si>
    <t>CUST369T</t>
  </si>
  <si>
    <t>DIRECT ASSIGN 370-TN</t>
  </si>
  <si>
    <t>CUST370T</t>
  </si>
  <si>
    <t>DIRECT ASSIGN 371-TN</t>
  </si>
  <si>
    <t>CUST371T</t>
  </si>
  <si>
    <t>DIR ASSIGN RENT REVENUE</t>
  </si>
  <si>
    <t>DIR454REV</t>
  </si>
  <si>
    <t>DIR ASSIGN EXCESS FACILITIES REV.</t>
  </si>
  <si>
    <t>DIR456FAC</t>
  </si>
  <si>
    <t>DIR ASSIGN OTHER MISC REV.</t>
  </si>
  <si>
    <t>DIR456OTH</t>
  </si>
  <si>
    <t>DIR ASSIGN RECONNECT REV</t>
  </si>
  <si>
    <t>DIR451REC</t>
  </si>
  <si>
    <t>DIR ASSIGN OTHER SERVICE REV</t>
  </si>
  <si>
    <t>DIR451OTH</t>
  </si>
  <si>
    <t>DIR ASSIGN RETURN CHECK REV</t>
  </si>
  <si>
    <t>DIR456CHK</t>
  </si>
  <si>
    <t>DIRECT ASSIGN 369-SERV KY</t>
  </si>
  <si>
    <t>DIRECT ASSIGN 370 METERS KY</t>
  </si>
  <si>
    <t>DIRECT ASSIGN 371 CUST INST KY</t>
  </si>
  <si>
    <t>DIRECT ASSIGN 373 ST LIGHT KY</t>
  </si>
  <si>
    <t>DIR ASSIGN ACCT 371 CUST INST VA</t>
  </si>
  <si>
    <t>DIR450REV</t>
  </si>
  <si>
    <t>PLT302TOT</t>
  </si>
  <si>
    <t>PLT303TOT</t>
  </si>
  <si>
    <t>EXP9245TOT</t>
  </si>
  <si>
    <t>REVKY</t>
  </si>
  <si>
    <t>PLT3645TOT</t>
  </si>
  <si>
    <t>PLT3602TOT</t>
  </si>
  <si>
    <t>PLT3667TOT</t>
  </si>
  <si>
    <t>PLT373TOT</t>
  </si>
  <si>
    <t>PLT370TOT</t>
  </si>
  <si>
    <t>PLT371TOT</t>
  </si>
  <si>
    <t>PLT368TOT</t>
  </si>
  <si>
    <t>EXP9024CA</t>
  </si>
  <si>
    <t>EXP9089CS</t>
  </si>
  <si>
    <t>EXP9123SA</t>
  </si>
  <si>
    <t>EXP5017STM</t>
  </si>
  <si>
    <t>EXP5114STM</t>
  </si>
  <si>
    <t>EXP5360HYD</t>
  </si>
  <si>
    <t>EXP5425HYD</t>
  </si>
  <si>
    <t>EXP5479OTH</t>
  </si>
  <si>
    <t>EXP5524OTH</t>
  </si>
  <si>
    <t>EXP5627TX</t>
  </si>
  <si>
    <t>EXP5693TX</t>
  </si>
  <si>
    <t>EXP5829DIS</t>
  </si>
  <si>
    <t>EXP5918DIS</t>
  </si>
  <si>
    <t>EXP9025CA</t>
  </si>
  <si>
    <t>EXP9080CS</t>
  </si>
  <si>
    <t>EXP9126SA</t>
  </si>
  <si>
    <t>203(E) EXCESS DEFERRED TAXES</t>
  </si>
  <si>
    <t>TOT203E</t>
  </si>
  <si>
    <t>RATE BASE-KY</t>
  </si>
  <si>
    <t>KYRATEBASE</t>
  </si>
  <si>
    <t>440-RESIDENTIAL</t>
  </si>
  <si>
    <t>442-SMALL COMMERCIAL</t>
  </si>
  <si>
    <t>442-LARGE COMMERCIAL</t>
  </si>
  <si>
    <t>442-INDUSTRIAL</t>
  </si>
  <si>
    <t>442-MINE POWER</t>
  </si>
  <si>
    <t>444-PUBLIC ST &amp; HWY LIGHTING</t>
  </si>
  <si>
    <t>445-OTHER PUBLIC AUTHORITIES</t>
  </si>
  <si>
    <t>445-MUNICIPAL PUMPING</t>
  </si>
  <si>
    <t>447-SALES FOR RESALE-MUNICIPAL WHOLESALE</t>
  </si>
  <si>
    <t>449-PROVISION FOR RATE REFUND</t>
  </si>
  <si>
    <t>DIR ASSIGN RECONNECT REV.</t>
  </si>
  <si>
    <t>DIR ASSIGN OTHER SERVICE REV.</t>
  </si>
  <si>
    <t>DIR ASSIGN RETURN CHECK REV.</t>
  </si>
  <si>
    <t xml:space="preserve">    CUSTOMER DEPOSITS-VIRGINIA</t>
  </si>
  <si>
    <t xml:space="preserve">    OPEB UNFUNDED-VIRGINIA</t>
  </si>
  <si>
    <t xml:space="preserve"> 301-ORGANIZATION</t>
  </si>
  <si>
    <t xml:space="preserve"> 302-FRANCHISE</t>
  </si>
  <si>
    <t xml:space="preserve"> 303-SOFTWARE</t>
  </si>
  <si>
    <t>STEAM PRODUCTION PLANT</t>
  </si>
  <si>
    <t xml:space="preserve"> 310-LAND</t>
  </si>
  <si>
    <t xml:space="preserve"> 311-STRUCTURES AND IMPROVEMENTS</t>
  </si>
  <si>
    <t xml:space="preserve"> 312-BOILER PLANT EQUIPMENT</t>
  </si>
  <si>
    <t xml:space="preserve"> 314-TURBOGENERATOR UNITS</t>
  </si>
  <si>
    <t xml:space="preserve"> 315-ACCESSORY ELECTRIC EQUIP</t>
  </si>
  <si>
    <t xml:space="preserve"> 316-MISC POWER PLANT EQUIP</t>
  </si>
  <si>
    <t xml:space="preserve"> 317-ARO COST STEAM EQUIP</t>
  </si>
  <si>
    <t xml:space="preserve"> FERC-AFUDC PRE</t>
  </si>
  <si>
    <t xml:space="preserve"> FERC-AFUDC POST</t>
  </si>
  <si>
    <t>HYDRAULIC PRODUCTION PLANT</t>
  </si>
  <si>
    <t xml:space="preserve"> 330-LAND RIGHTS</t>
  </si>
  <si>
    <t xml:space="preserve"> 331-STRUCTURES AND IMPROVEMENTS</t>
  </si>
  <si>
    <t xml:space="preserve"> 332-RESERVOIRS, DAMS, AND WATER</t>
  </si>
  <si>
    <t xml:space="preserve"> 333-WATER WHEEL, TURBINES, GEN</t>
  </si>
  <si>
    <t xml:space="preserve"> 334-ACCESSORY ELECTRIC EQUIP</t>
  </si>
  <si>
    <t xml:space="preserve"> 335-MISC POWER PLANT EQUIP</t>
  </si>
  <si>
    <t xml:space="preserve"> 336-ROADS, RAILROADS, AND BRIDGES</t>
  </si>
  <si>
    <t xml:space="preserve"> 337-ARO COST HYDRO PROD EQUIP</t>
  </si>
  <si>
    <t>OTHER PRODUCTION PLANT</t>
  </si>
  <si>
    <t xml:space="preserve"> 340-LAND &amp; LAND RIGHTS</t>
  </si>
  <si>
    <t xml:space="preserve"> 341-STRUCTURES AND IMPROVEMENTS</t>
  </si>
  <si>
    <t xml:space="preserve"> 342-FUEL HOLDERS, PRODUCERS, ACC</t>
  </si>
  <si>
    <t xml:space="preserve"> 343-PRIME MOVERS</t>
  </si>
  <si>
    <t xml:space="preserve"> 344-GENERATORS</t>
  </si>
  <si>
    <t xml:space="preserve"> 345-ACCESSORY ELECTRIC EQUIP</t>
  </si>
  <si>
    <t xml:space="preserve"> 346-MISC POWER PLANT EQUIP</t>
  </si>
  <si>
    <t xml:space="preserve"> 347-ARO COST OTHER PROD EQUIP</t>
  </si>
  <si>
    <t>AFUDC component of plant</t>
  </si>
  <si>
    <t xml:space="preserve"> 350-LAND &amp; LAND RIGHTS</t>
  </si>
  <si>
    <t xml:space="preserve"> 352-STRUCTURES AND IMPROVEMENTS</t>
  </si>
  <si>
    <t xml:space="preserve"> 353-STATION EQUIPMENT</t>
  </si>
  <si>
    <t xml:space="preserve"> 354-TOWERS AND FIXTURES</t>
  </si>
  <si>
    <t xml:space="preserve"> 355-POLES AND FIXTURES</t>
  </si>
  <si>
    <t xml:space="preserve"> 356-OH CONDUCTORS AND DEVICES</t>
  </si>
  <si>
    <t xml:space="preserve"> 357-UNDERGROUND CONDUIT</t>
  </si>
  <si>
    <t xml:space="preserve"> 358-UG CONDUCTORS AND DEVICES</t>
  </si>
  <si>
    <t xml:space="preserve"> 359-ARO COST KY TRANS</t>
  </si>
  <si>
    <t>TOTAL KENTUCKY SYSTEM PROPERTY</t>
  </si>
  <si>
    <t>VIRGINIA PROPERTY</t>
  </si>
  <si>
    <t>TOTAL VIRGINIA PROPERTY</t>
  </si>
  <si>
    <t>VIRGINIA PROPERTY-500 KV LINE</t>
  </si>
  <si>
    <t>TOTAL VIRGINIA PROPERTY-500 KV LINE</t>
  </si>
  <si>
    <t xml:space="preserve"> 360-LAND &amp; LAND RIGHTS</t>
  </si>
  <si>
    <t xml:space="preserve"> 361-STRUCTURES AND IMPROVEMENTS</t>
  </si>
  <si>
    <t xml:space="preserve"> 362-STATION EQUIPMENT</t>
  </si>
  <si>
    <t xml:space="preserve"> 364-POLES, TOWERS, AND FIXTURES</t>
  </si>
  <si>
    <t xml:space="preserve"> 365-OH CONDUCTORS AND DEVICES</t>
  </si>
  <si>
    <t xml:space="preserve"> 366-UNDERGROUND CONDUIT</t>
  </si>
  <si>
    <t xml:space="preserve"> 367-UG CONDUCTORS AND DEVICES</t>
  </si>
  <si>
    <t xml:space="preserve"> 368-LINE TRANSFORMERS</t>
  </si>
  <si>
    <t xml:space="preserve"> TOTAL 368-LINE TRANSFORMERS</t>
  </si>
  <si>
    <t xml:space="preserve"> 369-SERVICES</t>
  </si>
  <si>
    <t xml:space="preserve"> 370-METERS</t>
  </si>
  <si>
    <t xml:space="preserve"> 371-INSTALL ON CUSTOMER PREMISES</t>
  </si>
  <si>
    <t xml:space="preserve"> 373-STREET LIGHTING</t>
  </si>
  <si>
    <t xml:space="preserve"> TENNESSEE DISTRIBUTION PLANT</t>
  </si>
  <si>
    <t xml:space="preserve"> TOTAL TENNESSEE DISTRIB PLANT</t>
  </si>
  <si>
    <t xml:space="preserve"> 389-LAND &amp; LAND RIGHTS</t>
  </si>
  <si>
    <t xml:space="preserve"> 390-STRUCTURES AND IMPROVEMENTS</t>
  </si>
  <si>
    <t xml:space="preserve"> 391-OFFICE EQUIPMENT</t>
  </si>
  <si>
    <t xml:space="preserve"> 392-TRANSPORTATION EQUIPMENT</t>
  </si>
  <si>
    <t xml:space="preserve"> 393-STORES EQUIPMENT</t>
  </si>
  <si>
    <t xml:space="preserve"> 394-TOOLS, SHOP, AND GARAGE EQUIP</t>
  </si>
  <si>
    <t xml:space="preserve"> 395-LABORATORY EQUIPMENT</t>
  </si>
  <si>
    <t xml:space="preserve"> 396-POWER OPERATED EQUIPMENT</t>
  </si>
  <si>
    <t xml:space="preserve"> 397-COMMUNICATION EQUIPMENT</t>
  </si>
  <si>
    <t xml:space="preserve"> 398-MISC EQUIPMENT</t>
  </si>
  <si>
    <t xml:space="preserve"> TOTAL GENERAL PLANT</t>
  </si>
  <si>
    <t xml:space="preserve"> PLANT HELD FOR FUTURE USE</t>
  </si>
  <si>
    <t xml:space="preserve"> PRODUCTION</t>
  </si>
  <si>
    <t xml:space="preserve"> TRANSMISSION</t>
  </si>
  <si>
    <t xml:space="preserve"> DISTRIBUTION</t>
  </si>
  <si>
    <t xml:space="preserve"> TOTAL PLANT HELD FOR FUTURE USE</t>
  </si>
  <si>
    <t>Total plant held for future use</t>
  </si>
  <si>
    <t xml:space="preserve"> DISTRIBUTION PLANT-VA &amp; TN </t>
  </si>
  <si>
    <t xml:space="preserve"> DISTRIBUTION PLANT-KY &amp; FERC</t>
  </si>
  <si>
    <t xml:space="preserve">Use franchises and consents balance only; leasehold is part of General Plant reserve </t>
  </si>
  <si>
    <t xml:space="preserve"> DISTRIBUTION - KY &amp; FERC</t>
  </si>
  <si>
    <t>03/31/12 balances</t>
  </si>
  <si>
    <t xml:space="preserve">  PREPAYMENTS OTHER THAN TAXES</t>
  </si>
  <si>
    <t xml:space="preserve">  TRANSMISSION - VA</t>
  </si>
  <si>
    <t>CUSTOMER DEPOSITS-VIRGINIA</t>
  </si>
  <si>
    <t>OPEB UNFUNDED-VIRGINIA</t>
  </si>
  <si>
    <t xml:space="preserve">  440-RESIDENTIAL</t>
  </si>
  <si>
    <t xml:space="preserve">  442-SMALL COMMERCIAL</t>
  </si>
  <si>
    <t xml:space="preserve">  442-LARGE COMMERCIAL</t>
  </si>
  <si>
    <t xml:space="preserve">  442-INDUSTRIAL</t>
  </si>
  <si>
    <t xml:space="preserve">  442-MINE POWER</t>
  </si>
  <si>
    <t xml:space="preserve">  444-PUBLIC ST &amp; HWY LIGHTING</t>
  </si>
  <si>
    <t xml:space="preserve">  445-OTHER PUBLIC AUTHORITIES</t>
  </si>
  <si>
    <t xml:space="preserve">  445-MUNICIPAL PUMPING</t>
  </si>
  <si>
    <t xml:space="preserve">  447-SALES FOR RESALE-MUNICIPALS</t>
  </si>
  <si>
    <t xml:space="preserve">  447-SALES FOR RESALE-CITY OF PARIS</t>
  </si>
  <si>
    <t>Paris from Rev Acctg COS workpapers</t>
  </si>
  <si>
    <t xml:space="preserve">  447-SALES FOR RESALE-OFF SYSTEM:</t>
  </si>
  <si>
    <t xml:space="preserve">              DEMAND</t>
  </si>
  <si>
    <t xml:space="preserve">              ENERGY</t>
  </si>
  <si>
    <t xml:space="preserve">  TOTAL 447-OFF SYSTEM</t>
  </si>
  <si>
    <t xml:space="preserve">  449-PROVISION FOR RATE REFUND</t>
  </si>
  <si>
    <t>TOTAL ELECTRIC SALES REVENUES</t>
  </si>
  <si>
    <t xml:space="preserve">  450-LATE PAYMENT CHARGES</t>
  </si>
  <si>
    <t xml:space="preserve">  451-RECONNECT CHARGES</t>
  </si>
  <si>
    <t xml:space="preserve">  451-OTHER SERVICE CHARGES</t>
  </si>
  <si>
    <t>FERC OATT MUNIS Direct Assign per REV ACCTG</t>
  </si>
  <si>
    <t xml:space="preserve">  454-RENT FROM ELEC PROPERTY</t>
  </si>
  <si>
    <t>EKPC Reg Asset Direct Assign to KY</t>
  </si>
  <si>
    <t>Primary</t>
  </si>
  <si>
    <t xml:space="preserve">  456-TRANSMISSION SERVICE</t>
  </si>
  <si>
    <t xml:space="preserve">  456-TAX REMITTANCE COMPENSATION</t>
  </si>
  <si>
    <t xml:space="preserve">  456-RETURN CHECK CHARGES</t>
  </si>
  <si>
    <t xml:space="preserve">  456-OTHER MISC REVENUES</t>
  </si>
  <si>
    <t xml:space="preserve">  456-EXCESS FACILITIES CHARGES</t>
  </si>
  <si>
    <t xml:space="preserve">  456-FORFEITED REFUNDABLE ADVANCES</t>
  </si>
  <si>
    <t>FERC Spare Parts</t>
  </si>
  <si>
    <t>FROM TRIAL BALANCE ACCT 555016</t>
  </si>
  <si>
    <t>EKPC Reg Asset Amort Direct Assign to KY</t>
  </si>
  <si>
    <t>MISO Exit Fee Amort Direct Assign to KY</t>
  </si>
  <si>
    <t xml:space="preserve">  575-MISO DAY 1 &amp;2 EXP</t>
  </si>
  <si>
    <t>Virginia portion Juris:</t>
  </si>
  <si>
    <t>exclude from Kentucky rates (Reg Asset)</t>
  </si>
  <si>
    <t>Virginia portion Non-Juris:</t>
  </si>
  <si>
    <t>exclude from Kentucky rates (Reg Liab)</t>
  </si>
  <si>
    <t>Tennessee portion:</t>
  </si>
  <si>
    <t>2009 Winter Storm Reg Asset Amort Direct Assign to KY (Ice storm)</t>
  </si>
  <si>
    <t>2008 Wind Storm Reg Asset Amort Direct Assign to KY (Ike)</t>
  </si>
  <si>
    <t>Mountain Storm Reg Asset Amort Direct Assign to VA</t>
  </si>
  <si>
    <t>NOTE: 926101 and 926112 allocate to KY,VA,TN only. FERC portion already allocated and reclassified as reg asset</t>
  </si>
  <si>
    <t>Total 926101,926117,926911,926917</t>
  </si>
  <si>
    <t>KY</t>
  </si>
  <si>
    <t>VA</t>
  </si>
  <si>
    <t>TN</t>
  </si>
  <si>
    <t>Total Labor (KY,VA,TN)</t>
  </si>
  <si>
    <t>Ky Only portion of 930:</t>
  </si>
  <si>
    <t>930203</t>
  </si>
  <si>
    <t>RESEARCH WORK</t>
  </si>
  <si>
    <t>930207</t>
  </si>
  <si>
    <t>OTHER MISC GEN EXP</t>
  </si>
  <si>
    <t>DIRECT</t>
  </si>
  <si>
    <t>2008 case</t>
  </si>
  <si>
    <t>2009 case</t>
  </si>
  <si>
    <t>930903</t>
  </si>
  <si>
    <t>RESEARCH WORK - INDIRECT</t>
  </si>
  <si>
    <t xml:space="preserve">  930-ASSOC DUES &amp; ADVERTISING</t>
  </si>
  <si>
    <t>Amortization of CMRG-Ky Only</t>
  </si>
  <si>
    <t>Amortization of KCCS-Ky Only</t>
  </si>
  <si>
    <t>Source:</t>
  </si>
  <si>
    <t>KU_Depreciation_Accrual_by_State_and_Function_Year Ended 03-31-2012_email.xls FILE</t>
  </si>
  <si>
    <t xml:space="preserve">   DISTRIBUTION-KENTUCKY</t>
  </si>
  <si>
    <t xml:space="preserve">   DISTRIBUTION-VIRGINIA</t>
  </si>
  <si>
    <t xml:space="preserve">   DISTRIBUTION-TENNESSEE</t>
  </si>
  <si>
    <t>Accretion</t>
  </si>
  <si>
    <t>Depreciation</t>
  </si>
  <si>
    <t>Property Taxes adjusted down 1 for rounding</t>
  </si>
  <si>
    <t>Financials pg 21=</t>
  </si>
  <si>
    <t>Financials pg 21</t>
  </si>
  <si>
    <t>Other</t>
  </si>
  <si>
    <t xml:space="preserve">  SEC. 199 DEDUCTION-STATE</t>
  </si>
  <si>
    <t>Tax acct workpapers-STATE amount</t>
  </si>
  <si>
    <t xml:space="preserve">  DEPREC-EQUITY AFUDC PRE</t>
  </si>
  <si>
    <t xml:space="preserve">  DEPREC-EQUITY AFUDC POST</t>
  </si>
  <si>
    <t>Kentucky</t>
  </si>
  <si>
    <t>Tennessee</t>
  </si>
  <si>
    <t>FERC-Primary</t>
  </si>
  <si>
    <t>FERC-Transmission</t>
  </si>
  <si>
    <t>STATE TAXABLE INCOME</t>
  </si>
  <si>
    <t>Virginia Apportionment Factor</t>
  </si>
  <si>
    <t>STATE TAX TRUE-UP AND ADJ</t>
  </si>
  <si>
    <t>203(E) EXCESS-STATE</t>
  </si>
  <si>
    <t>Tax acct workpapers-203(E) STATE amount</t>
  </si>
  <si>
    <t>KY COAL TAX CREDIT</t>
  </si>
  <si>
    <t>SEC. 199 DEDUCTION-FEDERAL INCREMENT</t>
  </si>
  <si>
    <t>Tax acct workpapers-SEC199 FEDERAL LESS STATE amount</t>
  </si>
  <si>
    <t>FEDERAL TAXABLE INCOME (LINE 14-20-21)</t>
  </si>
  <si>
    <t>203(E) EXCESS-FEDERAL</t>
  </si>
  <si>
    <t>Tax acct workpapers-203(E) FEDERAL amount</t>
  </si>
  <si>
    <t>FEDERAL TAX TRUE-UP AND ADJ</t>
  </si>
  <si>
    <t xml:space="preserve">      12 MONTHS ENDING MARCH 31, 2012</t>
  </si>
  <si>
    <t xml:space="preserve">  LATE PAYMENT CHARGES</t>
  </si>
  <si>
    <t xml:space="preserve">  RECONNECT CHARGES</t>
  </si>
  <si>
    <t xml:space="preserve">  OTHER SERVICE CHARGES</t>
  </si>
  <si>
    <t xml:space="preserve">  RENT FROM ELEC PROPERTY</t>
  </si>
  <si>
    <t xml:space="preserve">  TRANSMISSION SERVICE</t>
  </si>
  <si>
    <t xml:space="preserve">  TAX REMITTANCE COMPENSATION</t>
  </si>
  <si>
    <t xml:space="preserve">  RETURN CHECK CHARGES</t>
  </si>
  <si>
    <t xml:space="preserve">  OTHER MISC REVENUES</t>
  </si>
  <si>
    <t xml:space="preserve">  EXCESS FACILITIES CHARGES</t>
  </si>
  <si>
    <t xml:space="preserve">  FORFEITED REFUNDABLE ADVANCES</t>
  </si>
  <si>
    <t>Fluctuating Load Service</t>
  </si>
  <si>
    <t>Power Service Secondary</t>
  </si>
  <si>
    <t>Power Service Primary</t>
  </si>
  <si>
    <t>Time of Day Secondary</t>
  </si>
  <si>
    <t>Meter</t>
  </si>
  <si>
    <t>Unit</t>
  </si>
  <si>
    <t>Year-End</t>
  </si>
  <si>
    <t>Allocator</t>
  </si>
  <si>
    <t>Determination of Meter Cost Allocation</t>
  </si>
  <si>
    <t>Total - per Plant Accounting</t>
  </si>
  <si>
    <t>Determination of Services Cost Allocation</t>
  </si>
  <si>
    <t>Service</t>
  </si>
  <si>
    <t>Customers as of</t>
  </si>
  <si>
    <t>Base Revenue</t>
  </si>
  <si>
    <t>at Current Rates</t>
  </si>
  <si>
    <t>(Winter)</t>
  </si>
  <si>
    <t>(Summer)</t>
  </si>
  <si>
    <t>Intermediate</t>
  </si>
  <si>
    <t>LE</t>
  </si>
  <si>
    <t>FLS - Transmission</t>
  </si>
  <si>
    <t>Outdoor Lighting Rate ST &amp; PO</t>
  </si>
  <si>
    <t>Lighting Energy Rate LE</t>
  </si>
  <si>
    <t>Traffic Lighting Rate TLE</t>
  </si>
  <si>
    <t>Outdoor Lighting</t>
  </si>
  <si>
    <t>Lighting Energy</t>
  </si>
  <si>
    <t>Rate Switching Allocator</t>
  </si>
  <si>
    <t>RS01</t>
  </si>
  <si>
    <t>Adjustment to reflect changes to FAC calculations</t>
  </si>
  <si>
    <t>To adjust Off-system sales margins</t>
  </si>
  <si>
    <t>Remove Out of Period Items</t>
  </si>
  <si>
    <t xml:space="preserve">Eliminate advertising expenses </t>
  </si>
  <si>
    <t>Adjustment for injuries and damages FERC account 925</t>
  </si>
  <si>
    <t>Adjustment for transfer of ITO functions</t>
  </si>
  <si>
    <t>ECR Plan Eliminations</t>
  </si>
  <si>
    <t>Maximum Class Demands (Primary Subs)</t>
  </si>
  <si>
    <t>Maximum Class Demands (Primary Lines)</t>
  </si>
  <si>
    <t>NCPS</t>
  </si>
  <si>
    <t>NCPL</t>
  </si>
  <si>
    <t>MISCSERV</t>
  </si>
  <si>
    <t>Energy changes due to rate switching</t>
  </si>
  <si>
    <t>Net delivered energy</t>
  </si>
  <si>
    <t>Miscellaneous Revenue adjustment</t>
  </si>
  <si>
    <t>Revenue Reconciliation -- Book to Jurisdictional Separation</t>
  </si>
  <si>
    <t>Test Year Sales for Resale, Total</t>
  </si>
  <si>
    <t>Intercompany Sales for Resale</t>
  </si>
  <si>
    <t>Paris Only Wholesale Sales</t>
  </si>
  <si>
    <t>Settled Swap Revenue</t>
  </si>
  <si>
    <t>Settled Swap Expense</t>
  </si>
  <si>
    <t>Total Off-system Sales Revenue</t>
  </si>
  <si>
    <t>Per Jurisdictional Study:</t>
  </si>
  <si>
    <t>Paris Revenue</t>
  </si>
  <si>
    <t>Sales for Resale allocated on Demand</t>
  </si>
  <si>
    <t>Sales for Resale allocated on Energy</t>
  </si>
  <si>
    <t>Total Off-system Sales</t>
  </si>
  <si>
    <t>Jurisdictional Allocation to Ky on Energy</t>
  </si>
  <si>
    <t>KY Jurisdictional Amts</t>
  </si>
  <si>
    <t>COS Inputs, Cost of Service Results, Unadjusted, Operating Revenues section, Allocation ProForma tab</t>
  </si>
  <si>
    <t>HEA/Franchise Fees/Refundable Advances</t>
  </si>
  <si>
    <t>CSR credits</t>
  </si>
  <si>
    <t>Remove HEA</t>
  </si>
  <si>
    <t>Rate Switching</t>
  </si>
  <si>
    <t>Cycle 20</t>
  </si>
  <si>
    <t>CSR</t>
  </si>
  <si>
    <t xml:space="preserve">Rate Switch </t>
  </si>
  <si>
    <t>Impact on kwh</t>
  </si>
  <si>
    <t>Power Service Primary (net of TOD-Sub adjustments)</t>
  </si>
  <si>
    <t>Time of Day Primary (net of TOD Sub adjustments)</t>
  </si>
  <si>
    <t>$</t>
  </si>
  <si>
    <t>TOD Primary Subs</t>
  </si>
  <si>
    <t>Time of Day Primary Substation</t>
  </si>
  <si>
    <t>Time of Day Primary Lines</t>
  </si>
  <si>
    <t>Time of Day Primary Subs</t>
  </si>
  <si>
    <t>ECRPLAN</t>
  </si>
  <si>
    <t>ECR Revenue in Base Rates</t>
  </si>
  <si>
    <t>ST &amp; POL</t>
  </si>
  <si>
    <t>Rate Switching Adjustment to Demand</t>
  </si>
  <si>
    <t>as billed</t>
  </si>
  <si>
    <t>For the 12 Months Ended March 31, 2012</t>
  </si>
  <si>
    <t>Summary of Unadjusted Rates of Return by Class</t>
  </si>
  <si>
    <t xml:space="preserve">Operating </t>
  </si>
  <si>
    <t>Operating</t>
  </si>
  <si>
    <t>Expenses</t>
  </si>
  <si>
    <t>Margin</t>
  </si>
  <si>
    <t>ROR</t>
  </si>
  <si>
    <t>Residential Rate RS</t>
  </si>
  <si>
    <t>Power Service Primary Rate PS</t>
  </si>
  <si>
    <t>Power Service Secondary Rate PS</t>
  </si>
  <si>
    <t>Summary of Adjusted Rates of Return by Class</t>
  </si>
  <si>
    <t>Summary of Rates of Return by Class w/Proposed Increase</t>
  </si>
  <si>
    <t>General Service Secondary Rate GSS</t>
  </si>
  <si>
    <t>All Electric Schools Rate AES</t>
  </si>
  <si>
    <t>Time of Day Secondary Rate TOD</t>
  </si>
  <si>
    <t>Time of Day Primary Lines Rate TOD</t>
  </si>
  <si>
    <t>Retail Transmission Service Rate RTS</t>
  </si>
  <si>
    <t>Fluctuating Load Service Rate FLS</t>
  </si>
  <si>
    <t>Lighting Rate ST &amp; POL</t>
  </si>
  <si>
    <t>Lighting Rate LE</t>
  </si>
  <si>
    <t>Lighting Rate TLE</t>
  </si>
  <si>
    <t>Cost of Service Summary -- Pro-Forma with Increase (Equalized RORs)</t>
  </si>
  <si>
    <t>Adjustment for tax basis depreciation reduction</t>
  </si>
  <si>
    <t>Cost of Service Summary -- Equalized RORs based on Cost of Service</t>
  </si>
  <si>
    <t>Total Pro-Forma Adjustments</t>
  </si>
  <si>
    <t>Total Pro-forma Operating Expenses</t>
  </si>
  <si>
    <t>Net Operating Income -- Pro-Forma</t>
  </si>
  <si>
    <t>Cycle 20 Adjustment</t>
  </si>
  <si>
    <t>Interruptible Buy Thru Charges</t>
  </si>
  <si>
    <t>Billing Determinant Revenue net of CSR &amp; HEA</t>
  </si>
  <si>
    <t>Distribution Customer Margin</t>
  </si>
  <si>
    <t>For the 12 Months Ended March 31. 2012</t>
  </si>
  <si>
    <t>Demand Charge</t>
  </si>
  <si>
    <t>Rate Time of Day Primary Lines</t>
  </si>
  <si>
    <t>Rate FLS</t>
  </si>
  <si>
    <t>Rate RTS</t>
  </si>
  <si>
    <t>with 15% Subsidy Reduction and adjustment for Rate FLS</t>
  </si>
  <si>
    <t>All lines between this color not part of filing (Start Here to Hide)</t>
  </si>
  <si>
    <t>All lines between this color not part of filing Stop Here to Hide)</t>
  </si>
  <si>
    <t>Adjusted Increase to a Cap</t>
  </si>
  <si>
    <t>ROR Band</t>
  </si>
  <si>
    <t>Cap</t>
  </si>
  <si>
    <t>Min</t>
  </si>
  <si>
    <t>Reallocation</t>
  </si>
  <si>
    <t>Total Adjustment</t>
  </si>
  <si>
    <t>Adjusted Uniform Increase to reflect Adjustment</t>
  </si>
  <si>
    <t>Previous Increase</t>
  </si>
  <si>
    <t>TOD-Primary</t>
  </si>
  <si>
    <t>Time of Day Primary  Rate TODP</t>
  </si>
  <si>
    <t>General Service Secondary Rate GS</t>
  </si>
  <si>
    <t>Time of Day Secondary Rate TODS</t>
  </si>
  <si>
    <t>Cost of Service Summary  -- Adjusted for Proposed Increase FIRST Iteration</t>
  </si>
  <si>
    <t>Traffic Energy</t>
  </si>
  <si>
    <t>TE</t>
  </si>
  <si>
    <t>Production Residual Base Demand Allocator</t>
  </si>
  <si>
    <t>PPBDRA</t>
  </si>
  <si>
    <t xml:space="preserve">Production Base Demand Costs </t>
  </si>
  <si>
    <t>Production Base Demand Residual</t>
  </si>
  <si>
    <t>Production Base Demand Total</t>
  </si>
  <si>
    <t>PPBDT</t>
  </si>
  <si>
    <t>Production Base Demand Allocator</t>
  </si>
  <si>
    <t>PPBDA</t>
  </si>
  <si>
    <t>Retail Transmission</t>
  </si>
  <si>
    <t>Fluctuating Load</t>
  </si>
  <si>
    <t>General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</si>
</sst>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_(* #,##0_);_(* \(#,##0\);_(* &quot;-&quot;??_);_(@_)"/>
    <numFmt numFmtId="167" formatCode="0.0000"/>
    <numFmt numFmtId="168" formatCode="0.000000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_(* #,##0.0000000_);_(* \(#,##0.0000000\);_(* &quot;-&quot;??_);_(@_)"/>
    <numFmt numFmtId="174" formatCode="_(&quot;$&quot;* #,##0.0000_);_(&quot;$&quot;* \(#,##0.0000\);_(&quot;$&quot;* &quot;-&quot;??_);_(@_)"/>
    <numFmt numFmtId="175" formatCode="_(&quot;$&quot;* #,##0.00000_);_(&quot;$&quot;* \(#,##0.00000\);_(&quot;$&quot;* &quot;-&quot;??_);_(@_)"/>
    <numFmt numFmtId="176" formatCode="_(&quot;$&quot;* #,##0.000000_);_(&quot;$&quot;* \(#,##0.000000\);_(&quot;$&quot;* &quot;-&quot;??_);_(@_)"/>
    <numFmt numFmtId="177" formatCode="0.0000000"/>
    <numFmt numFmtId="178" formatCode="_(* #,##0.000000000_);_(* \(#,##0.000000000\);_(* &quot;-&quot;??_);_(@_)"/>
    <numFmt numFmtId="179" formatCode="_(&quot;$&quot;* #,##0.0000000_);_(&quot;$&quot;* \(#,##0.0000000\);_(&quot;$&quot;* &quot;-&quot;??_);_(@_)"/>
    <numFmt numFmtId="180" formatCode="0.000%"/>
    <numFmt numFmtId="181" formatCode="m/d/yy;@"/>
    <numFmt numFmtId="182" formatCode="mmmm\ dd\,\ yyyy"/>
    <numFmt numFmtId="183" formatCode="_([$€-2]* #,##0.00_);_([$€-2]* \(#,##0.00\);_([$€-2]* &quot;-&quot;??_)"/>
    <numFmt numFmtId="184" formatCode="&quot;$&quot;#,##0\ ;\(&quot;$&quot;#,##0\)"/>
    <numFmt numFmtId="185" formatCode="0.000000_);[Red]\(0.000000\)"/>
    <numFmt numFmtId="186" formatCode="_(&quot;$&quot;* #,##0.000_);_(&quot;$&quot;* \(#,##0.000\);_(&quot;$&quot;* &quot;-&quot;??_);_(@_)"/>
    <numFmt numFmtId="187" formatCode="_(&quot;$&quot;* #,##0.000000000000000_);_(&quot;$&quot;* \(#,##0.000000000000000\);_(&quot;$&quot;* &quot;-&quot;??_);_(@_)"/>
    <numFmt numFmtId="188" formatCode="0.00000_)"/>
    <numFmt numFmtId="189" formatCode="&quot;$&quot;#,##0.0000_);[Red]\(&quot;$&quot;#,##0.0000\)"/>
    <numFmt numFmtId="190" formatCode="0.0%"/>
    <numFmt numFmtId="191" formatCode="0.00000%"/>
    <numFmt numFmtId="192" formatCode="0.00000"/>
  </numFmts>
  <fonts count="61" x14ac:knownFonts="1">
    <font>
      <sz val="11"/>
      <name val="Times New Roman"/>
    </font>
    <font>
      <b/>
      <sz val="11"/>
      <name val="Times New Roman"/>
    </font>
    <font>
      <sz val="11"/>
      <name val="Times New Roman"/>
      <family val="1"/>
    </font>
    <font>
      <u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8"/>
      <color indexed="81"/>
      <name val="Tahoma"/>
      <family val="2"/>
    </font>
    <font>
      <sz val="12"/>
      <name val="Arial"/>
      <family val="2"/>
    </font>
    <font>
      <b/>
      <sz val="14"/>
      <name val="Arial"/>
      <family val="2"/>
    </font>
    <font>
      <u val="singleAccounting"/>
      <sz val="12"/>
      <name val="Arial"/>
      <family val="2"/>
    </font>
    <font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8"/>
      <color indexed="62"/>
      <name val="Cambria"/>
      <family val="2"/>
    </font>
    <font>
      <sz val="8"/>
      <color indexed="8"/>
      <name val="Wingdings"/>
      <charset val="2"/>
    </font>
    <font>
      <b/>
      <sz val="11"/>
      <name val="Arial"/>
      <family val="2"/>
    </font>
    <font>
      <sz val="11"/>
      <name val="Arial"/>
      <family val="2"/>
    </font>
    <font>
      <sz val="9"/>
      <color theme="1"/>
      <name val="Times New Roman"/>
      <family val="2"/>
    </font>
    <font>
      <sz val="8"/>
      <color rgb="FFFF0000"/>
      <name val="Times New Roman"/>
      <family val="1"/>
    </font>
    <font>
      <b/>
      <u/>
      <sz val="10"/>
      <name val="Times New Roman"/>
      <family val="1"/>
    </font>
    <font>
      <i/>
      <sz val="10"/>
      <name val="Times New Roman"/>
      <family val="1"/>
    </font>
    <font>
      <u val="singleAccounting"/>
      <sz val="10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1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16" borderId="1" applyNumberFormat="0" applyAlignment="0" applyProtection="0"/>
    <xf numFmtId="0" fontId="26" fillId="17" borderId="2" applyNumberFormat="0" applyAlignment="0" applyProtection="0"/>
    <xf numFmtId="0" fontId="27" fillId="18" borderId="0">
      <alignment horizontal="left"/>
    </xf>
    <xf numFmtId="0" fontId="28" fillId="18" borderId="0">
      <alignment horizontal="right"/>
    </xf>
    <xf numFmtId="0" fontId="29" fillId="16" borderId="0">
      <alignment horizontal="center"/>
    </xf>
    <xf numFmtId="0" fontId="28" fillId="18" borderId="0">
      <alignment horizontal="right"/>
    </xf>
    <xf numFmtId="0" fontId="30" fillId="16" borderId="0">
      <alignment horizontal="left"/>
    </xf>
    <xf numFmtId="43" fontId="2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Protection="0"/>
    <xf numFmtId="0" fontId="21" fillId="0" borderId="0" applyProtection="0"/>
    <xf numFmtId="0" fontId="33" fillId="0" borderId="0" applyProtection="0"/>
    <xf numFmtId="0" fontId="34" fillId="0" borderId="0" applyProtection="0"/>
    <xf numFmtId="0" fontId="7" fillId="0" borderId="0" applyProtection="0"/>
    <xf numFmtId="0" fontId="32" fillId="0" borderId="0" applyProtection="0"/>
    <xf numFmtId="0" fontId="35" fillId="0" borderId="0" applyProtection="0"/>
    <xf numFmtId="2" fontId="7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1" applyNumberFormat="0" applyAlignment="0" applyProtection="0"/>
    <xf numFmtId="0" fontId="27" fillId="18" borderId="0">
      <alignment horizontal="left"/>
    </xf>
    <xf numFmtId="0" fontId="41" fillId="16" borderId="0">
      <alignment horizontal="left"/>
    </xf>
    <xf numFmtId="0" fontId="42" fillId="0" borderId="4" applyNumberFormat="0" applyFill="0" applyAlignment="0" applyProtection="0"/>
    <xf numFmtId="0" fontId="43" fillId="7" borderId="0" applyNumberFormat="0" applyBorder="0" applyAlignment="0" applyProtection="0"/>
    <xf numFmtId="0" fontId="56" fillId="0" borderId="0"/>
    <xf numFmtId="0" fontId="44" fillId="4" borderId="5" applyNumberFormat="0" applyFont="0" applyAlignment="0" applyProtection="0"/>
    <xf numFmtId="0" fontId="45" fillId="16" borderId="6" applyNumberFormat="0" applyAlignment="0" applyProtection="0"/>
    <xf numFmtId="4" fontId="46" fillId="19" borderId="0">
      <alignment horizontal="right"/>
    </xf>
    <xf numFmtId="0" fontId="47" fillId="19" borderId="0">
      <alignment horizontal="center" vertical="center"/>
    </xf>
    <xf numFmtId="0" fontId="41" fillId="19" borderId="7"/>
    <xf numFmtId="0" fontId="47" fillId="19" borderId="0" applyBorder="0">
      <alignment horizontal="centerContinuous"/>
    </xf>
    <xf numFmtId="0" fontId="48" fillId="19" borderId="0" applyBorder="0">
      <alignment horizontal="centerContinuous"/>
    </xf>
    <xf numFmtId="9" fontId="2" fillId="0" borderId="0" applyFont="0" applyFill="0" applyBorder="0" applyAlignment="0" applyProtection="0"/>
    <xf numFmtId="0" fontId="41" fillId="7" borderId="0">
      <alignment horizontal="center"/>
    </xf>
    <xf numFmtId="49" fontId="49" fillId="16" borderId="0">
      <alignment horizontal="center"/>
    </xf>
    <xf numFmtId="0" fontId="28" fillId="18" borderId="0">
      <alignment horizontal="center"/>
    </xf>
    <xf numFmtId="0" fontId="28" fillId="18" borderId="0">
      <alignment horizontal="centerContinuous"/>
    </xf>
    <xf numFmtId="0" fontId="50" fillId="16" borderId="0">
      <alignment horizontal="left"/>
    </xf>
    <xf numFmtId="49" fontId="50" fillId="16" borderId="0">
      <alignment horizontal="center"/>
    </xf>
    <xf numFmtId="0" fontId="27" fillId="18" borderId="0">
      <alignment horizontal="left"/>
    </xf>
    <xf numFmtId="49" fontId="50" fillId="16" borderId="0">
      <alignment horizontal="left"/>
    </xf>
    <xf numFmtId="0" fontId="27" fillId="18" borderId="0">
      <alignment horizontal="centerContinuous"/>
    </xf>
    <xf numFmtId="0" fontId="27" fillId="18" borderId="0">
      <alignment horizontal="right"/>
    </xf>
    <xf numFmtId="49" fontId="41" fillId="16" borderId="0">
      <alignment horizontal="left"/>
    </xf>
    <xf numFmtId="0" fontId="28" fillId="18" borderId="0">
      <alignment horizontal="right"/>
    </xf>
    <xf numFmtId="0" fontId="50" fillId="5" borderId="0">
      <alignment horizontal="center"/>
    </xf>
    <xf numFmtId="0" fontId="51" fillId="5" borderId="0">
      <alignment horizont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2" fillId="0" borderId="0" applyNumberFormat="0" applyFill="0" applyBorder="0" applyAlignment="0" applyProtection="0"/>
    <xf numFmtId="0" fontId="7" fillId="0" borderId="8" applyNumberFormat="0" applyFont="0" applyFill="0" applyAlignment="0" applyProtection="0"/>
    <xf numFmtId="0" fontId="53" fillId="16" borderId="0">
      <alignment horizontal="center"/>
    </xf>
    <xf numFmtId="0" fontId="42" fillId="0" borderId="0" applyNumberFormat="0" applyFill="0" applyBorder="0" applyAlignment="0" applyProtection="0"/>
  </cellStyleXfs>
  <cellXfs count="518">
    <xf numFmtId="0" fontId="0" fillId="0" borderId="0" xfId="0"/>
    <xf numFmtId="164" fontId="0" fillId="0" borderId="0" xfId="0" applyNumberFormat="1"/>
    <xf numFmtId="166" fontId="0" fillId="0" borderId="0" xfId="33" applyNumberFormat="1" applyFont="1"/>
    <xf numFmtId="0" fontId="5" fillId="0" borderId="0" xfId="0" applyFont="1"/>
    <xf numFmtId="0" fontId="6" fillId="0" borderId="0" xfId="0" applyFont="1"/>
    <xf numFmtId="0" fontId="9" fillId="0" borderId="0" xfId="0" applyFont="1"/>
    <xf numFmtId="166" fontId="0" fillId="0" borderId="0" xfId="33" applyNumberFormat="1" applyFont="1" applyBorder="1"/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5" fillId="0" borderId="0" xfId="0" applyFont="1" applyFill="1"/>
    <xf numFmtId="166" fontId="15" fillId="0" borderId="0" xfId="33" applyNumberFormat="1" applyFont="1" applyFill="1" applyAlignment="1">
      <alignment horizontal="left"/>
    </xf>
    <xf numFmtId="166" fontId="15" fillId="0" borderId="0" xfId="33" applyNumberFormat="1" applyFont="1" applyFill="1"/>
    <xf numFmtId="0" fontId="0" fillId="0" borderId="9" xfId="0" applyBorder="1"/>
    <xf numFmtId="0" fontId="5" fillId="0" borderId="10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right"/>
    </xf>
    <xf numFmtId="0" fontId="6" fillId="0" borderId="0" xfId="0" applyFont="1" applyFill="1"/>
    <xf numFmtId="0" fontId="5" fillId="0" borderId="0" xfId="0" applyFont="1" applyFill="1"/>
    <xf numFmtId="0" fontId="15" fillId="0" borderId="0" xfId="0" applyFont="1" applyFill="1" applyAlignment="1">
      <alignment horizontal="right"/>
    </xf>
    <xf numFmtId="44" fontId="15" fillId="0" borderId="0" xfId="35" applyFont="1" applyFill="1"/>
    <xf numFmtId="10" fontId="0" fillId="0" borderId="0" xfId="66" applyNumberFormat="1" applyFont="1" applyBorder="1" applyAlignment="1">
      <alignment horizontal="right"/>
    </xf>
    <xf numFmtId="0" fontId="0" fillId="0" borderId="0" xfId="0" applyBorder="1"/>
    <xf numFmtId="0" fontId="13" fillId="0" borderId="0" xfId="0" applyFont="1"/>
    <xf numFmtId="0" fontId="5" fillId="0" borderId="0" xfId="0" applyFont="1" applyFill="1" applyBorder="1" applyAlignment="1">
      <alignment horizontal="right" wrapText="1"/>
    </xf>
    <xf numFmtId="0" fontId="5" fillId="0" borderId="9" xfId="0" applyFont="1" applyFill="1" applyBorder="1"/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166" fontId="2" fillId="0" borderId="0" xfId="33" applyNumberFormat="1"/>
    <xf numFmtId="164" fontId="2" fillId="0" borderId="0" xfId="35" applyNumberFormat="1"/>
    <xf numFmtId="43" fontId="2" fillId="0" borderId="0" xfId="33"/>
    <xf numFmtId="166" fontId="2" fillId="0" borderId="10" xfId="33" applyNumberFormat="1" applyBorder="1"/>
    <xf numFmtId="0" fontId="13" fillId="0" borderId="0" xfId="0" applyFont="1" applyFill="1" applyAlignment="1" applyProtection="1">
      <alignment horizontal="left"/>
    </xf>
    <xf numFmtId="0" fontId="13" fillId="0" borderId="0" xfId="0" applyFont="1" applyFill="1"/>
    <xf numFmtId="0" fontId="19" fillId="0" borderId="0" xfId="0" applyFont="1" applyFill="1"/>
    <xf numFmtId="166" fontId="19" fillId="0" borderId="0" xfId="33" applyNumberFormat="1" applyFont="1" applyFill="1"/>
    <xf numFmtId="182" fontId="13" fillId="0" borderId="0" xfId="0" quotePrefix="1" applyNumberFormat="1" applyFont="1" applyAlignment="1">
      <alignment horizontal="left"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2" fillId="0" borderId="0" xfId="0" applyFont="1" applyFill="1"/>
    <xf numFmtId="0" fontId="8" fillId="0" borderId="0" xfId="0" applyFont="1" applyFill="1"/>
    <xf numFmtId="166" fontId="12" fillId="0" borderId="0" xfId="0" applyNumberFormat="1" applyFont="1" applyFill="1"/>
    <xf numFmtId="0" fontId="8" fillId="0" borderId="0" xfId="0" applyFont="1"/>
    <xf numFmtId="0" fontId="21" fillId="0" borderId="0" xfId="0" applyFont="1"/>
    <xf numFmtId="168" fontId="0" fillId="0" borderId="0" xfId="0" applyNumberFormat="1"/>
    <xf numFmtId="168" fontId="0" fillId="0" borderId="0" xfId="0" quotePrefix="1" applyNumberFormat="1" applyAlignment="1">
      <alignment horizontal="left"/>
    </xf>
    <xf numFmtId="168" fontId="5" fillId="0" borderId="0" xfId="0" applyNumberFormat="1" applyFont="1" applyBorder="1" applyAlignment="1">
      <alignment horizontal="center"/>
    </xf>
    <xf numFmtId="168" fontId="0" fillId="0" borderId="0" xfId="66" applyNumberFormat="1" applyFont="1"/>
    <xf numFmtId="0" fontId="11" fillId="0" borderId="0" xfId="0" applyFont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0" xfId="0" applyFont="1" applyFill="1" applyAlignment="1">
      <alignment horizontal="left"/>
    </xf>
    <xf numFmtId="164" fontId="10" fillId="0" borderId="0" xfId="0" applyNumberFormat="1" applyFont="1"/>
    <xf numFmtId="166" fontId="10" fillId="0" borderId="0" xfId="33" applyNumberFormat="1" applyFont="1"/>
    <xf numFmtId="166" fontId="10" fillId="0" borderId="10" xfId="33" applyNumberFormat="1" applyFont="1" applyBorder="1"/>
    <xf numFmtId="0" fontId="11" fillId="0" borderId="0" xfId="0" applyFont="1" applyFill="1" applyBorder="1" applyAlignment="1">
      <alignment horizontal="center"/>
    </xf>
    <xf numFmtId="0" fontId="10" fillId="0" borderId="0" xfId="0" applyFont="1" applyFill="1"/>
    <xf numFmtId="168" fontId="10" fillId="0" borderId="0" xfId="0" applyNumberFormat="1" applyFont="1" applyFill="1"/>
    <xf numFmtId="172" fontId="10" fillId="0" borderId="0" xfId="33" applyNumberFormat="1" applyFont="1" applyFill="1"/>
    <xf numFmtId="168" fontId="10" fillId="0" borderId="0" xfId="66" applyNumberFormat="1" applyFont="1"/>
    <xf numFmtId="0" fontId="11" fillId="0" borderId="0" xfId="0" applyFont="1" applyFill="1" applyBorder="1" applyAlignment="1">
      <alignment horizontal="right"/>
    </xf>
    <xf numFmtId="171" fontId="10" fillId="0" borderId="0" xfId="33" applyNumberFormat="1" applyFont="1" applyFill="1"/>
    <xf numFmtId="0" fontId="10" fillId="0" borderId="0" xfId="0" applyFont="1" applyFill="1" applyAlignment="1">
      <alignment horizontal="center"/>
    </xf>
    <xf numFmtId="164" fontId="10" fillId="0" borderId="0" xfId="0" applyNumberFormat="1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168" fontId="10" fillId="0" borderId="0" xfId="0" applyNumberFormat="1" applyFont="1"/>
    <xf numFmtId="168" fontId="21" fillId="0" borderId="0" xfId="0" applyNumberFormat="1" applyFont="1"/>
    <xf numFmtId="168" fontId="11" fillId="0" borderId="0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8" fontId="11" fillId="0" borderId="9" xfId="0" applyNumberFormat="1" applyFont="1" applyBorder="1" applyAlignment="1">
      <alignment horizontal="center"/>
    </xf>
    <xf numFmtId="166" fontId="12" fillId="0" borderId="0" xfId="33" applyNumberFormat="1" applyFont="1"/>
    <xf numFmtId="168" fontId="21" fillId="0" borderId="0" xfId="66" applyNumberFormat="1" applyFont="1"/>
    <xf numFmtId="0" fontId="8" fillId="0" borderId="0" xfId="0" applyFont="1" applyBorder="1" applyAlignment="1">
      <alignment horizontal="center"/>
    </xf>
    <xf numFmtId="166" fontId="10" fillId="0" borderId="0" xfId="33" applyNumberFormat="1" applyFont="1" applyFill="1"/>
    <xf numFmtId="166" fontId="10" fillId="0" borderId="0" xfId="33" applyNumberFormat="1" applyFont="1" applyBorder="1"/>
    <xf numFmtId="0" fontId="11" fillId="0" borderId="9" xfId="0" applyFont="1" applyFill="1" applyBorder="1" applyAlignment="1">
      <alignment horizontal="center"/>
    </xf>
    <xf numFmtId="164" fontId="10" fillId="0" borderId="0" xfId="0" applyNumberFormat="1" applyFont="1" applyFill="1" applyBorder="1"/>
    <xf numFmtId="0" fontId="19" fillId="0" borderId="0" xfId="0" applyFont="1" applyFill="1" applyAlignment="1">
      <alignment horizontal="center"/>
    </xf>
    <xf numFmtId="178" fontId="19" fillId="0" borderId="0" xfId="33" applyNumberFormat="1" applyFont="1" applyFill="1"/>
    <xf numFmtId="172" fontId="19" fillId="0" borderId="0" xfId="33" applyNumberFormat="1" applyFont="1" applyFill="1"/>
    <xf numFmtId="181" fontId="19" fillId="0" borderId="0" xfId="0" applyNumberFormat="1" applyFont="1" applyFill="1"/>
    <xf numFmtId="166" fontId="19" fillId="0" borderId="0" xfId="33" applyNumberFormat="1" applyFont="1" applyFill="1" applyAlignment="1">
      <alignment horizontal="center"/>
    </xf>
    <xf numFmtId="178" fontId="19" fillId="0" borderId="0" xfId="0" applyNumberFormat="1" applyFont="1" applyFill="1"/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/>
    <xf numFmtId="0" fontId="5" fillId="0" borderId="11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3" fillId="0" borderId="0" xfId="0" applyFont="1" applyFill="1" applyAlignment="1">
      <alignment horizontal="centerContinuous"/>
    </xf>
    <xf numFmtId="0" fontId="6" fillId="0" borderId="0" xfId="0" applyFont="1" applyFill="1" applyBorder="1"/>
    <xf numFmtId="0" fontId="5" fillId="0" borderId="0" xfId="0" quotePrefix="1" applyFont="1" applyFill="1"/>
    <xf numFmtId="0" fontId="20" fillId="0" borderId="0" xfId="0" applyFont="1" applyFill="1" applyAlignment="1" applyProtection="1">
      <alignment horizontal="left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2" fontId="2" fillId="0" borderId="0" xfId="0" applyNumberFormat="1" applyFont="1" applyFill="1"/>
    <xf numFmtId="164" fontId="2" fillId="0" borderId="0" xfId="35" applyNumberFormat="1" applyFont="1" applyFill="1"/>
    <xf numFmtId="166" fontId="2" fillId="0" borderId="0" xfId="33" applyNumberFormat="1" applyFont="1" applyFill="1"/>
    <xf numFmtId="16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 applyProtection="1">
      <alignment horizontal="left"/>
    </xf>
    <xf numFmtId="166" fontId="2" fillId="0" borderId="0" xfId="0" applyNumberFormat="1" applyFont="1" applyFill="1"/>
    <xf numFmtId="43" fontId="2" fillId="0" borderId="0" xfId="33" applyFont="1" applyFill="1"/>
    <xf numFmtId="0" fontId="2" fillId="0" borderId="0" xfId="0" quotePrefix="1" applyFont="1" applyFill="1"/>
    <xf numFmtId="0" fontId="2" fillId="0" borderId="0" xfId="0" quotePrefix="1" applyFont="1" applyFill="1" applyBorder="1"/>
    <xf numFmtId="43" fontId="2" fillId="0" borderId="0" xfId="0" applyNumberFormat="1" applyFont="1" applyFill="1"/>
    <xf numFmtId="0" fontId="13" fillId="0" borderId="0" xfId="0" applyFont="1" applyFill="1" applyProtection="1">
      <protection locked="0"/>
    </xf>
    <xf numFmtId="0" fontId="2" fillId="0" borderId="0" xfId="33" applyNumberFormat="1" applyFont="1" applyFill="1"/>
    <xf numFmtId="0" fontId="2" fillId="0" borderId="0" xfId="0" applyFont="1" applyFill="1" applyBorder="1"/>
    <xf numFmtId="0" fontId="2" fillId="0" borderId="0" xfId="33" applyNumberFormat="1" applyFont="1" applyFill="1" applyBorder="1"/>
    <xf numFmtId="168" fontId="2" fillId="0" borderId="0" xfId="0" applyNumberFormat="1" applyFont="1" applyFill="1"/>
    <xf numFmtId="168" fontId="2" fillId="0" borderId="0" xfId="33" applyNumberFormat="1" applyFont="1" applyFill="1"/>
    <xf numFmtId="166" fontId="2" fillId="0" borderId="0" xfId="33" applyNumberFormat="1" applyFont="1" applyFill="1" applyAlignment="1">
      <alignment horizontal="right"/>
    </xf>
    <xf numFmtId="171" fontId="2" fillId="0" borderId="0" xfId="33" applyNumberFormat="1" applyFont="1" applyFill="1"/>
    <xf numFmtId="172" fontId="2" fillId="0" borderId="0" xfId="33" applyNumberFormat="1" applyFont="1" applyFill="1"/>
    <xf numFmtId="173" fontId="2" fillId="0" borderId="0" xfId="33" applyNumberFormat="1" applyFont="1" applyFill="1"/>
    <xf numFmtId="0" fontId="57" fillId="0" borderId="0" xfId="0" applyFont="1" applyFill="1"/>
    <xf numFmtId="0" fontId="18" fillId="0" borderId="0" xfId="0" applyFont="1" applyFill="1"/>
    <xf numFmtId="0" fontId="7" fillId="0" borderId="0" xfId="0" applyFont="1" applyFill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4" xfId="0" quotePrefix="1" applyBorder="1"/>
    <xf numFmtId="0" fontId="7" fillId="0" borderId="14" xfId="0" quotePrefix="1" applyFont="1" applyBorder="1"/>
    <xf numFmtId="0" fontId="7" fillId="0" borderId="15" xfId="0" applyFont="1" applyFill="1" applyBorder="1"/>
    <xf numFmtId="0" fontId="7" fillId="0" borderId="16" xfId="0" quotePrefix="1" applyFont="1" applyBorder="1"/>
    <xf numFmtId="0" fontId="0" fillId="0" borderId="17" xfId="0" applyBorder="1"/>
    <xf numFmtId="0" fontId="5" fillId="0" borderId="12" xfId="0" applyFont="1" applyBorder="1"/>
    <xf numFmtId="0" fontId="5" fillId="0" borderId="13" xfId="0" applyFont="1" applyBorder="1"/>
    <xf numFmtId="0" fontId="5" fillId="0" borderId="18" xfId="0" applyFont="1" applyBorder="1"/>
    <xf numFmtId="0" fontId="5" fillId="0" borderId="11" xfId="0" applyFont="1" applyBorder="1" applyAlignment="1">
      <alignment horizontal="center"/>
    </xf>
    <xf numFmtId="0" fontId="5" fillId="0" borderId="14" xfId="0" applyFont="1" applyBorder="1"/>
    <xf numFmtId="0" fontId="5" fillId="0" borderId="15" xfId="0" applyFont="1" applyBorder="1"/>
    <xf numFmtId="0" fontId="5" fillId="0" borderId="19" xfId="0" applyFont="1" applyBorder="1"/>
    <xf numFmtId="0" fontId="5" fillId="0" borderId="16" xfId="0" applyFont="1" applyBorder="1"/>
    <xf numFmtId="0" fontId="5" fillId="0" borderId="20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/>
    <xf numFmtId="164" fontId="0" fillId="0" borderId="14" xfId="35" applyNumberFormat="1" applyFont="1" applyBorder="1"/>
    <xf numFmtId="164" fontId="0" fillId="0" borderId="0" xfId="35" applyNumberFormat="1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10" fontId="0" fillId="0" borderId="14" xfId="66" applyNumberFormat="1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12" fillId="0" borderId="19" xfId="0" applyFont="1" applyFill="1" applyBorder="1" applyAlignment="1">
      <alignment horizontal="center"/>
    </xf>
    <xf numFmtId="164" fontId="0" fillId="0" borderId="19" xfId="35" applyNumberFormat="1" applyFont="1" applyBorder="1"/>
    <xf numFmtId="164" fontId="0" fillId="0" borderId="20" xfId="35" applyNumberFormat="1" applyFont="1" applyBorder="1"/>
    <xf numFmtId="164" fontId="7" fillId="0" borderId="19" xfId="35" applyNumberFormat="1" applyFont="1" applyBorder="1" applyAlignment="1">
      <alignment horizontal="center"/>
    </xf>
    <xf numFmtId="0" fontId="2" fillId="0" borderId="15" xfId="0" applyFont="1" applyBorder="1"/>
    <xf numFmtId="0" fontId="7" fillId="0" borderId="14" xfId="0" quotePrefix="1" applyFont="1" applyFill="1" applyBorder="1"/>
    <xf numFmtId="164" fontId="0" fillId="0" borderId="14" xfId="0" applyNumberFormat="1" applyBorder="1" applyAlignment="1">
      <alignment horizontal="center"/>
    </xf>
    <xf numFmtId="44" fontId="0" fillId="0" borderId="14" xfId="35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2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8" fontId="0" fillId="0" borderId="0" xfId="66" applyNumberFormat="1" applyFont="1" applyBorder="1"/>
    <xf numFmtId="164" fontId="2" fillId="0" borderId="0" xfId="0" applyNumberFormat="1" applyFont="1"/>
    <xf numFmtId="164" fontId="2" fillId="0" borderId="0" xfId="0" applyNumberFormat="1" applyFont="1" applyBorder="1"/>
    <xf numFmtId="168" fontId="55" fillId="0" borderId="0" xfId="33" applyNumberFormat="1" applyFont="1" applyFill="1"/>
    <xf numFmtId="165" fontId="2" fillId="0" borderId="0" xfId="33" applyNumberFormat="1" applyFont="1" applyFill="1"/>
    <xf numFmtId="0" fontId="11" fillId="0" borderId="0" xfId="0" applyFont="1" applyFill="1"/>
    <xf numFmtId="0" fontId="0" fillId="0" borderId="0" xfId="0" applyFill="1"/>
    <xf numFmtId="0" fontId="11" fillId="0" borderId="0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168" fontId="11" fillId="0" borderId="0" xfId="0" applyNumberFormat="1" applyFont="1" applyFill="1" applyBorder="1"/>
    <xf numFmtId="0" fontId="11" fillId="0" borderId="0" xfId="0" applyFont="1" applyFill="1" applyBorder="1" applyAlignment="1">
      <alignment horizontal="left"/>
    </xf>
    <xf numFmtId="168" fontId="10" fillId="0" borderId="0" xfId="66" applyNumberFormat="1" applyFont="1" applyFill="1" applyBorder="1"/>
    <xf numFmtId="172" fontId="10" fillId="0" borderId="0" xfId="33" applyNumberFormat="1" applyFont="1" applyFill="1" applyBorder="1"/>
    <xf numFmtId="185" fontId="10" fillId="0" borderId="0" xfId="0" applyNumberFormat="1" applyFont="1" applyFill="1" applyBorder="1"/>
    <xf numFmtId="10" fontId="10" fillId="0" borderId="0" xfId="0" applyNumberFormat="1" applyFont="1" applyFill="1" applyBorder="1"/>
    <xf numFmtId="171" fontId="10" fillId="0" borderId="0" xfId="33" applyNumberFormat="1" applyFont="1" applyFill="1" applyBorder="1"/>
    <xf numFmtId="0" fontId="0" fillId="0" borderId="0" xfId="0" applyFill="1" applyBorder="1"/>
    <xf numFmtId="44" fontId="0" fillId="0" borderId="0" xfId="0" applyNumberFormat="1" applyBorder="1"/>
    <xf numFmtId="0" fontId="2" fillId="0" borderId="0" xfId="0" quotePrefix="1" applyFont="1" applyBorder="1"/>
    <xf numFmtId="0" fontId="2" fillId="0" borderId="0" xfId="0" applyFont="1" applyBorder="1"/>
    <xf numFmtId="168" fontId="0" fillId="0" borderId="0" xfId="0" applyNumberFormat="1" applyBorder="1"/>
    <xf numFmtId="164" fontId="0" fillId="0" borderId="0" xfId="0" applyNumberFormat="1" applyFill="1"/>
    <xf numFmtId="166" fontId="0" fillId="0" borderId="0" xfId="33" applyNumberFormat="1" applyFont="1" applyFill="1"/>
    <xf numFmtId="164" fontId="4" fillId="0" borderId="0" xfId="0" applyNumberFormat="1" applyFont="1" applyFill="1"/>
    <xf numFmtId="164" fontId="4" fillId="0" borderId="0" xfId="0" applyNumberFormat="1" applyFont="1" applyFill="1" applyBorder="1"/>
    <xf numFmtId="0" fontId="0" fillId="0" borderId="10" xfId="0" applyBorder="1"/>
    <xf numFmtId="164" fontId="0" fillId="0" borderId="10" xfId="0" applyNumberFormat="1" applyFill="1" applyBorder="1"/>
    <xf numFmtId="166" fontId="0" fillId="0" borderId="10" xfId="33" applyNumberFormat="1" applyFont="1" applyFill="1" applyBorder="1"/>
    <xf numFmtId="166" fontId="2" fillId="0" borderId="0" xfId="33" applyNumberFormat="1" applyFont="1"/>
    <xf numFmtId="10" fontId="10" fillId="0" borderId="0" xfId="66" applyNumberFormat="1" applyFont="1" applyFill="1" applyBorder="1"/>
    <xf numFmtId="168" fontId="10" fillId="0" borderId="0" xfId="0" applyNumberFormat="1" applyFont="1" applyFill="1" applyBorder="1"/>
    <xf numFmtId="164" fontId="11" fillId="0" borderId="0" xfId="0" applyNumberFormat="1" applyFont="1" applyFill="1" applyBorder="1"/>
    <xf numFmtId="168" fontId="11" fillId="0" borderId="0" xfId="66" applyNumberFormat="1" applyFont="1" applyFill="1" applyBorder="1"/>
    <xf numFmtId="172" fontId="11" fillId="0" borderId="0" xfId="33" applyNumberFormat="1" applyFont="1" applyFill="1" applyBorder="1"/>
    <xf numFmtId="185" fontId="11" fillId="0" borderId="0" xfId="0" applyNumberFormat="1" applyFont="1" applyFill="1" applyBorder="1"/>
    <xf numFmtId="44" fontId="0" fillId="0" borderId="0" xfId="0" applyNumberFormat="1" applyFill="1"/>
    <xf numFmtId="44" fontId="0" fillId="0" borderId="0" xfId="0" applyNumberFormat="1" applyFill="1" applyBorder="1"/>
    <xf numFmtId="44" fontId="0" fillId="0" borderId="10" xfId="0" applyNumberFormat="1" applyFill="1" applyBorder="1"/>
    <xf numFmtId="191" fontId="19" fillId="0" borderId="0" xfId="66" applyNumberFormat="1" applyFont="1" applyFill="1"/>
    <xf numFmtId="0" fontId="15" fillId="0" borderId="0" xfId="0" applyFont="1" applyFill="1" applyAlignment="1">
      <alignment horizontal="center"/>
    </xf>
    <xf numFmtId="166" fontId="15" fillId="0" borderId="0" xfId="33" applyNumberFormat="1" applyFont="1" applyFill="1" applyAlignment="1">
      <alignment horizontal="center"/>
    </xf>
    <xf numFmtId="166" fontId="15" fillId="0" borderId="0" xfId="33" applyNumberFormat="1" applyFont="1" applyFill="1" applyAlignment="1">
      <alignment horizontal="right"/>
    </xf>
    <xf numFmtId="166" fontId="15" fillId="0" borderId="0" xfId="0" applyNumberFormat="1" applyFont="1" applyFill="1"/>
    <xf numFmtId="10" fontId="15" fillId="0" borderId="0" xfId="66" applyNumberFormat="1" applyFont="1" applyFill="1" applyAlignment="1">
      <alignment horizontal="right"/>
    </xf>
    <xf numFmtId="9" fontId="15" fillId="0" borderId="0" xfId="66" applyFont="1" applyFill="1" applyAlignment="1">
      <alignment horizontal="right"/>
    </xf>
    <xf numFmtId="164" fontId="15" fillId="0" borderId="0" xfId="35" applyNumberFormat="1" applyFont="1" applyFill="1"/>
    <xf numFmtId="10" fontId="15" fillId="0" borderId="0" xfId="66" applyNumberFormat="1" applyFont="1" applyFill="1"/>
    <xf numFmtId="43" fontId="15" fillId="0" borderId="0" xfId="33" applyNumberFormat="1" applyFont="1" applyFill="1"/>
    <xf numFmtId="166" fontId="15" fillId="0" borderId="0" xfId="33" applyNumberFormat="1" applyFont="1" applyFill="1" applyBorder="1"/>
    <xf numFmtId="166" fontId="15" fillId="0" borderId="0" xfId="0" applyNumberFormat="1" applyFont="1" applyFill="1" applyBorder="1"/>
    <xf numFmtId="164" fontId="15" fillId="0" borderId="0" xfId="35" applyNumberFormat="1" applyFont="1" applyFill="1" applyBorder="1"/>
    <xf numFmtId="10" fontId="15" fillId="0" borderId="0" xfId="66" applyNumberFormat="1" applyFont="1" applyFill="1" applyBorder="1"/>
    <xf numFmtId="43" fontId="15" fillId="0" borderId="0" xfId="33" applyNumberFormat="1" applyFont="1" applyFill="1" applyBorder="1"/>
    <xf numFmtId="43" fontId="15" fillId="0" borderId="0" xfId="33" applyFont="1" applyFill="1"/>
    <xf numFmtId="1" fontId="15" fillId="0" borderId="0" xfId="0" applyNumberFormat="1" applyFont="1" applyFill="1"/>
    <xf numFmtId="165" fontId="15" fillId="0" borderId="0" xfId="33" applyNumberFormat="1" applyFont="1" applyFill="1" applyAlignment="1">
      <alignment horizontal="right"/>
    </xf>
    <xf numFmtId="1" fontId="15" fillId="0" borderId="0" xfId="0" applyNumberFormat="1" applyFont="1" applyFill="1" applyBorder="1"/>
    <xf numFmtId="0" fontId="15" fillId="0" borderId="0" xfId="0" applyFont="1" applyFill="1" applyBorder="1"/>
    <xf numFmtId="15" fontId="5" fillId="0" borderId="9" xfId="0" applyNumberFormat="1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174" fontId="15" fillId="0" borderId="0" xfId="35" applyNumberFormat="1" applyFont="1" applyFill="1"/>
    <xf numFmtId="169" fontId="15" fillId="0" borderId="0" xfId="33" applyNumberFormat="1" applyFont="1" applyFill="1"/>
    <xf numFmtId="0" fontId="15" fillId="0" borderId="10" xfId="0" applyFont="1" applyFill="1" applyBorder="1" applyAlignment="1">
      <alignment horizontal="right"/>
    </xf>
    <xf numFmtId="166" fontId="15" fillId="0" borderId="10" xfId="33" applyNumberFormat="1" applyFont="1" applyFill="1" applyBorder="1" applyAlignment="1">
      <alignment horizontal="right"/>
    </xf>
    <xf numFmtId="166" fontId="15" fillId="0" borderId="10" xfId="33" applyNumberFormat="1" applyFont="1" applyFill="1" applyBorder="1"/>
    <xf numFmtId="166" fontId="0" fillId="0" borderId="0" xfId="33" applyNumberFormat="1" applyFont="1" applyFill="1" applyBorder="1"/>
    <xf numFmtId="168" fontId="2" fillId="0" borderId="0" xfId="0" applyNumberFormat="1" applyFont="1" applyFill="1" applyBorder="1"/>
    <xf numFmtId="168" fontId="10" fillId="0" borderId="10" xfId="0" applyNumberFormat="1" applyFont="1" applyFill="1" applyBorder="1"/>
    <xf numFmtId="0" fontId="15" fillId="0" borderId="0" xfId="0" quotePrefix="1" applyFont="1" applyFill="1" applyAlignment="1">
      <alignment horizontal="right"/>
    </xf>
    <xf numFmtId="44" fontId="0" fillId="0" borderId="11" xfId="35" applyFont="1" applyBorder="1"/>
    <xf numFmtId="43" fontId="0" fillId="0" borderId="0" xfId="33" applyFont="1"/>
    <xf numFmtId="172" fontId="0" fillId="0" borderId="0" xfId="33" applyNumberFormat="1" applyFont="1"/>
    <xf numFmtId="43" fontId="5" fillId="0" borderId="0" xfId="33" applyFont="1" applyBorder="1" applyAlignment="1"/>
    <xf numFmtId="0" fontId="5" fillId="0" borderId="0" xfId="0" applyFont="1" applyBorder="1" applyAlignment="1">
      <alignment horizontal="left"/>
    </xf>
    <xf numFmtId="0" fontId="5" fillId="0" borderId="0" xfId="0" applyFont="1" applyAlignment="1"/>
    <xf numFmtId="43" fontId="5" fillId="0" borderId="0" xfId="33" applyFont="1" applyAlignment="1">
      <alignment horizontal="right"/>
    </xf>
    <xf numFmtId="172" fontId="0" fillId="0" borderId="0" xfId="33" applyNumberFormat="1" applyFont="1" applyAlignment="1">
      <alignment horizontal="right"/>
    </xf>
    <xf numFmtId="0" fontId="0" fillId="0" borderId="0" xfId="0" applyAlignment="1">
      <alignment horizontal="right"/>
    </xf>
    <xf numFmtId="0" fontId="5" fillId="0" borderId="9" xfId="0" applyFont="1" applyBorder="1" applyAlignment="1"/>
    <xf numFmtId="0" fontId="5" fillId="0" borderId="9" xfId="0" applyFont="1" applyBorder="1" applyAlignment="1">
      <alignment horizontal="left" wrapText="1"/>
    </xf>
    <xf numFmtId="43" fontId="5" fillId="0" borderId="9" xfId="33" applyFont="1" applyBorder="1" applyAlignment="1">
      <alignment horizontal="right"/>
    </xf>
    <xf numFmtId="172" fontId="5" fillId="0" borderId="9" xfId="33" applyNumberFormat="1" applyFont="1" applyBorder="1" applyAlignment="1">
      <alignment horizontal="right"/>
    </xf>
    <xf numFmtId="164" fontId="0" fillId="0" borderId="0" xfId="35" applyNumberFormat="1" applyFont="1"/>
    <xf numFmtId="10" fontId="0" fillId="0" borderId="0" xfId="66" applyNumberFormat="1" applyFont="1"/>
    <xf numFmtId="10" fontId="0" fillId="0" borderId="0" xfId="66" applyNumberFormat="1" applyFont="1" applyBorder="1"/>
    <xf numFmtId="0" fontId="8" fillId="0" borderId="10" xfId="0" applyFont="1" applyBorder="1"/>
    <xf numFmtId="166" fontId="0" fillId="0" borderId="10" xfId="33" applyNumberFormat="1" applyFont="1" applyBorder="1"/>
    <xf numFmtId="10" fontId="0" fillId="0" borderId="10" xfId="66" applyNumberFormat="1" applyFont="1" applyBorder="1"/>
    <xf numFmtId="43" fontId="0" fillId="0" borderId="0" xfId="33" applyFont="1" applyBorder="1"/>
    <xf numFmtId="164" fontId="0" fillId="0" borderId="0" xfId="35" applyNumberFormat="1" applyFont="1" applyBorder="1"/>
    <xf numFmtId="166" fontId="0" fillId="0" borderId="0" xfId="33" quotePrefix="1" applyNumberFormat="1" applyFont="1"/>
    <xf numFmtId="0" fontId="5" fillId="0" borderId="1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13" fillId="0" borderId="0" xfId="0" applyFont="1" applyBorder="1"/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2" fillId="0" borderId="18" xfId="0" applyFont="1" applyBorder="1"/>
    <xf numFmtId="0" fontId="2" fillId="0" borderId="19" xfId="0" applyFont="1" applyBorder="1"/>
    <xf numFmtId="0" fontId="54" fillId="0" borderId="17" xfId="0" applyFont="1" applyBorder="1"/>
    <xf numFmtId="0" fontId="54" fillId="0" borderId="20" xfId="0" applyFont="1" applyBorder="1" applyAlignment="1">
      <alignment horizontal="center"/>
    </xf>
    <xf numFmtId="44" fontId="0" fillId="0" borderId="0" xfId="35" applyFont="1"/>
    <xf numFmtId="44" fontId="0" fillId="0" borderId="0" xfId="0" applyNumberFormat="1"/>
    <xf numFmtId="43" fontId="0" fillId="0" borderId="0" xfId="0" applyNumberFormat="1"/>
    <xf numFmtId="44" fontId="0" fillId="0" borderId="11" xfId="0" applyNumberFormat="1" applyBorder="1"/>
    <xf numFmtId="164" fontId="7" fillId="0" borderId="14" xfId="35" applyNumberFormat="1" applyFont="1" applyBorder="1" applyAlignment="1">
      <alignment horizontal="center"/>
    </xf>
    <xf numFmtId="164" fontId="0" fillId="0" borderId="14" xfId="35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64" fontId="0" fillId="0" borderId="19" xfId="35" applyNumberFormat="1" applyFont="1" applyBorder="1" applyAlignment="1">
      <alignment horizontal="center"/>
    </xf>
    <xf numFmtId="164" fontId="7" fillId="0" borderId="19" xfId="0" applyNumberFormat="1" applyFont="1" applyBorder="1" applyAlignment="1">
      <alignment horizontal="center"/>
    </xf>
    <xf numFmtId="164" fontId="55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35" applyNumberFormat="1" applyFont="1" applyBorder="1" applyAlignment="1">
      <alignment horizontal="center"/>
    </xf>
    <xf numFmtId="166" fontId="55" fillId="0" borderId="0" xfId="33" applyNumberFormat="1" applyFont="1" applyFill="1" applyBorder="1"/>
    <xf numFmtId="10" fontId="2" fillId="0" borderId="0" xfId="66" applyNumberFormat="1" applyFont="1" applyBorder="1" applyAlignment="1">
      <alignment horizontal="right"/>
    </xf>
    <xf numFmtId="166" fontId="2" fillId="0" borderId="0" xfId="33" applyNumberFormat="1" applyFont="1" applyBorder="1"/>
    <xf numFmtId="0" fontId="2" fillId="0" borderId="9" xfId="0" applyFont="1" applyBorder="1"/>
    <xf numFmtId="2" fontId="2" fillId="0" borderId="9" xfId="0" applyNumberFormat="1" applyFont="1" applyBorder="1"/>
    <xf numFmtId="164" fontId="2" fillId="0" borderId="14" xfId="35" applyNumberFormat="1" applyFont="1" applyBorder="1"/>
    <xf numFmtId="164" fontId="55" fillId="0" borderId="15" xfId="0" applyNumberFormat="1" applyFont="1" applyBorder="1" applyAlignment="1">
      <alignment horizontal="center"/>
    </xf>
    <xf numFmtId="164" fontId="55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0" fontId="2" fillId="0" borderId="14" xfId="66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center"/>
    </xf>
    <xf numFmtId="44" fontId="2" fillId="0" borderId="14" xfId="35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44" fontId="2" fillId="0" borderId="11" xfId="35" applyFont="1" applyBorder="1"/>
    <xf numFmtId="164" fontId="55" fillId="0" borderId="19" xfId="0" applyNumberFormat="1" applyFont="1" applyBorder="1" applyAlignment="1">
      <alignment horizontal="center"/>
    </xf>
    <xf numFmtId="0" fontId="2" fillId="0" borderId="21" xfId="0" applyFont="1" applyBorder="1"/>
    <xf numFmtId="0" fontId="2" fillId="0" borderId="13" xfId="0" applyFont="1" applyBorder="1"/>
    <xf numFmtId="44" fontId="2" fillId="0" borderId="9" xfId="35" applyFont="1" applyBorder="1"/>
    <xf numFmtId="44" fontId="0" fillId="0" borderId="9" xfId="35" applyNumberFormat="1" applyFont="1" applyBorder="1" applyAlignment="1">
      <alignment horizontal="center"/>
    </xf>
    <xf numFmtId="44" fontId="0" fillId="0" borderId="11" xfId="35" applyNumberFormat="1" applyFont="1" applyBorder="1" applyAlignment="1">
      <alignment horizontal="center"/>
    </xf>
    <xf numFmtId="172" fontId="0" fillId="0" borderId="0" xfId="0" applyNumberFormat="1"/>
    <xf numFmtId="166" fontId="0" fillId="0" borderId="0" xfId="33" applyNumberFormat="1" applyFont="1" applyBorder="1" applyAlignment="1">
      <alignment horizontal="center"/>
    </xf>
    <xf numFmtId="175" fontId="0" fillId="0" borderId="9" xfId="35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5" fillId="0" borderId="15" xfId="0" applyFont="1" applyBorder="1"/>
    <xf numFmtId="0" fontId="55" fillId="0" borderId="15" xfId="0" applyFont="1" applyFill="1" applyBorder="1"/>
    <xf numFmtId="0" fontId="2" fillId="0" borderId="17" xfId="0" applyFont="1" applyBorder="1"/>
    <xf numFmtId="176" fontId="0" fillId="0" borderId="0" xfId="0" applyNumberFormat="1"/>
    <xf numFmtId="175" fontId="2" fillId="0" borderId="9" xfId="35" applyNumberFormat="1" applyFont="1" applyBorder="1"/>
    <xf numFmtId="176" fontId="2" fillId="0" borderId="9" xfId="35" applyNumberFormat="1" applyFont="1" applyBorder="1"/>
    <xf numFmtId="44" fontId="2" fillId="0" borderId="11" xfId="0" applyNumberFormat="1" applyFont="1" applyBorder="1"/>
    <xf numFmtId="175" fontId="0" fillId="0" borderId="0" xfId="35" applyNumberFormat="1" applyFont="1"/>
    <xf numFmtId="176" fontId="0" fillId="0" borderId="0" xfId="35" applyNumberFormat="1" applyFont="1"/>
    <xf numFmtId="44" fontId="2" fillId="0" borderId="0" xfId="35" applyFont="1" applyBorder="1"/>
    <xf numFmtId="44" fontId="0" fillId="0" borderId="0" xfId="35" applyNumberFormat="1" applyFont="1"/>
    <xf numFmtId="0" fontId="20" fillId="0" borderId="12" xfId="0" applyFont="1" applyBorder="1"/>
    <xf numFmtId="0" fontId="20" fillId="0" borderId="13" xfId="0" applyFont="1" applyBorder="1"/>
    <xf numFmtId="0" fontId="20" fillId="0" borderId="18" xfId="0" applyFont="1" applyBorder="1"/>
    <xf numFmtId="0" fontId="20" fillId="0" borderId="11" xfId="0" applyFont="1" applyBorder="1" applyAlignment="1">
      <alignment horizontal="center"/>
    </xf>
    <xf numFmtId="0" fontId="13" fillId="0" borderId="18" xfId="0" applyFont="1" applyBorder="1"/>
    <xf numFmtId="0" fontId="20" fillId="0" borderId="14" xfId="0" applyFont="1" applyBorder="1"/>
    <xf numFmtId="0" fontId="20" fillId="0" borderId="15" xfId="0" applyFont="1" applyBorder="1"/>
    <xf numFmtId="0" fontId="20" fillId="0" borderId="19" xfId="0" applyFont="1" applyBorder="1"/>
    <xf numFmtId="0" fontId="13" fillId="0" borderId="19" xfId="0" applyFont="1" applyBorder="1"/>
    <xf numFmtId="0" fontId="20" fillId="0" borderId="16" xfId="0" applyFont="1" applyBorder="1"/>
    <xf numFmtId="0" fontId="20" fillId="0" borderId="17" xfId="0" applyFont="1" applyBorder="1"/>
    <xf numFmtId="0" fontId="20" fillId="0" borderId="20" xfId="0" applyFont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3" fillId="0" borderId="12" xfId="0" applyFont="1" applyBorder="1"/>
    <xf numFmtId="0" fontId="13" fillId="0" borderId="13" xfId="0" applyFont="1" applyBorder="1"/>
    <xf numFmtId="0" fontId="13" fillId="0" borderId="18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21" xfId="0" applyFont="1" applyBorder="1"/>
    <xf numFmtId="0" fontId="13" fillId="0" borderId="14" xfId="0" quotePrefix="1" applyFont="1" applyBorder="1"/>
    <xf numFmtId="0" fontId="13" fillId="0" borderId="15" xfId="0" applyFont="1" applyBorder="1"/>
    <xf numFmtId="0" fontId="13" fillId="0" borderId="19" xfId="0" applyFont="1" applyBorder="1" applyAlignment="1">
      <alignment horizontal="center"/>
    </xf>
    <xf numFmtId="164" fontId="13" fillId="0" borderId="14" xfId="35" applyNumberFormat="1" applyFont="1" applyBorder="1"/>
    <xf numFmtId="164" fontId="13" fillId="0" borderId="14" xfId="35" applyNumberFormat="1" applyFont="1" applyBorder="1" applyAlignment="1">
      <alignment horizontal="center"/>
    </xf>
    <xf numFmtId="164" fontId="13" fillId="0" borderId="0" xfId="35" applyNumberFormat="1" applyFont="1" applyBorder="1" applyAlignment="1">
      <alignment horizontal="center"/>
    </xf>
    <xf numFmtId="164" fontId="13" fillId="0" borderId="19" xfId="0" applyNumberFormat="1" applyFont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166" fontId="13" fillId="0" borderId="14" xfId="33" applyNumberFormat="1" applyFont="1" applyFill="1" applyBorder="1"/>
    <xf numFmtId="166" fontId="13" fillId="0" borderId="0" xfId="33" applyNumberFormat="1" applyFont="1" applyFill="1" applyBorder="1"/>
    <xf numFmtId="164" fontId="13" fillId="0" borderId="14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4" xfId="0" applyFont="1" applyBorder="1"/>
    <xf numFmtId="164" fontId="13" fillId="0" borderId="19" xfId="35" applyNumberFormat="1" applyFont="1" applyBorder="1"/>
    <xf numFmtId="10" fontId="13" fillId="0" borderId="14" xfId="66" applyNumberFormat="1" applyFont="1" applyBorder="1" applyAlignment="1">
      <alignment horizontal="right"/>
    </xf>
    <xf numFmtId="10" fontId="13" fillId="0" borderId="0" xfId="66" applyNumberFormat="1" applyFont="1" applyBorder="1" applyAlignment="1">
      <alignment horizontal="right"/>
    </xf>
    <xf numFmtId="0" fontId="13" fillId="0" borderId="14" xfId="0" quotePrefix="1" applyFont="1" applyFill="1" applyBorder="1"/>
    <xf numFmtId="164" fontId="13" fillId="0" borderId="19" xfId="35" applyNumberFormat="1" applyFont="1" applyBorder="1" applyAlignment="1">
      <alignment horizontal="center"/>
    </xf>
    <xf numFmtId="44" fontId="13" fillId="0" borderId="14" xfId="35" applyFont="1" applyBorder="1" applyAlignment="1">
      <alignment horizontal="center"/>
    </xf>
    <xf numFmtId="166" fontId="13" fillId="0" borderId="0" xfId="0" applyNumberFormat="1" applyFont="1" applyFill="1"/>
    <xf numFmtId="166" fontId="13" fillId="0" borderId="14" xfId="0" applyNumberFormat="1" applyFont="1" applyBorder="1" applyAlignment="1">
      <alignment horizontal="center"/>
    </xf>
    <xf numFmtId="166" fontId="13" fillId="0" borderId="14" xfId="33" applyNumberFormat="1" applyFont="1" applyBorder="1"/>
    <xf numFmtId="166" fontId="13" fillId="0" borderId="0" xfId="33" applyNumberFormat="1" applyFont="1" applyBorder="1"/>
    <xf numFmtId="0" fontId="13" fillId="0" borderId="16" xfId="0" quotePrefix="1" applyFont="1" applyBorder="1"/>
    <xf numFmtId="0" fontId="13" fillId="0" borderId="17" xfId="0" applyFont="1" applyBorder="1"/>
    <xf numFmtId="0" fontId="13" fillId="0" borderId="2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6" xfId="0" applyFont="1" applyBorder="1"/>
    <xf numFmtId="0" fontId="13" fillId="0" borderId="9" xfId="0" applyFont="1" applyBorder="1"/>
    <xf numFmtId="44" fontId="13" fillId="0" borderId="9" xfId="35" applyFont="1" applyBorder="1"/>
    <xf numFmtId="44" fontId="13" fillId="0" borderId="11" xfId="35" applyFont="1" applyBorder="1"/>
    <xf numFmtId="164" fontId="13" fillId="0" borderId="20" xfId="35" applyNumberFormat="1" applyFont="1" applyBorder="1"/>
    <xf numFmtId="164" fontId="13" fillId="0" borderId="0" xfId="0" applyNumberFormat="1" applyFont="1"/>
    <xf numFmtId="44" fontId="13" fillId="0" borderId="0" xfId="35" applyFont="1"/>
    <xf numFmtId="192" fontId="13" fillId="0" borderId="0" xfId="0" applyNumberFormat="1" applyFont="1"/>
    <xf numFmtId="44" fontId="13" fillId="0" borderId="0" xfId="0" applyNumberFormat="1" applyFont="1"/>
    <xf numFmtId="43" fontId="13" fillId="0" borderId="0" xfId="0" applyNumberFormat="1" applyFont="1"/>
    <xf numFmtId="44" fontId="13" fillId="0" borderId="11" xfId="0" applyNumberFormat="1" applyFont="1" applyBorder="1"/>
    <xf numFmtId="166" fontId="5" fillId="0" borderId="0" xfId="33" applyNumberFormat="1" applyFont="1" applyBorder="1" applyAlignment="1">
      <alignment horizontal="center"/>
    </xf>
    <xf numFmtId="188" fontId="10" fillId="0" borderId="0" xfId="0" applyNumberFormat="1" applyFont="1" applyFill="1" applyProtection="1"/>
    <xf numFmtId="37" fontId="10" fillId="0" borderId="0" xfId="0" applyNumberFormat="1" applyFont="1" applyFill="1"/>
    <xf numFmtId="170" fontId="19" fillId="0" borderId="0" xfId="33" applyNumberFormat="1" applyFont="1" applyFill="1"/>
    <xf numFmtId="170" fontId="19" fillId="0" borderId="0" xfId="0" applyNumberFormat="1" applyFont="1" applyFill="1"/>
    <xf numFmtId="0" fontId="16" fillId="0" borderId="0" xfId="0" applyFont="1" applyFill="1"/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quotePrefix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73" fontId="15" fillId="0" borderId="0" xfId="33" applyNumberFormat="1" applyFont="1" applyFill="1" applyBorder="1"/>
    <xf numFmtId="0" fontId="15" fillId="0" borderId="0" xfId="33" applyNumberFormat="1" applyFont="1" applyFill="1" applyBorder="1"/>
    <xf numFmtId="166" fontId="15" fillId="0" borderId="0" xfId="33" applyNumberFormat="1" applyFont="1" applyFill="1" applyAlignment="1">
      <alignment wrapText="1"/>
    </xf>
    <xf numFmtId="166" fontId="15" fillId="0" borderId="0" xfId="33" quotePrefix="1" applyNumberFormat="1" applyFont="1" applyFill="1" applyAlignment="1">
      <alignment horizontal="left"/>
    </xf>
    <xf numFmtId="0" fontId="15" fillId="0" borderId="0" xfId="33" applyNumberFormat="1" applyFont="1" applyFill="1"/>
    <xf numFmtId="0" fontId="15" fillId="0" borderId="0" xfId="0" quotePrefix="1" applyFont="1" applyFill="1" applyAlignment="1">
      <alignment horizontal="left"/>
    </xf>
    <xf numFmtId="166" fontId="17" fillId="0" borderId="0" xfId="33" applyNumberFormat="1" applyFont="1" applyFill="1"/>
    <xf numFmtId="0" fontId="10" fillId="0" borderId="0" xfId="0" applyFont="1" applyFill="1" applyAlignment="1">
      <alignment horizontal="centerContinuous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right" wrapText="1"/>
    </xf>
    <xf numFmtId="0" fontId="11" fillId="0" borderId="0" xfId="0" applyFont="1" applyFill="1" applyAlignment="1">
      <alignment horizontal="center" wrapText="1"/>
    </xf>
    <xf numFmtId="0" fontId="11" fillId="0" borderId="0" xfId="0" quotePrefix="1" applyFont="1" applyFill="1" applyAlignment="1">
      <alignment horizontal="center" wrapText="1"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 horizontal="right"/>
    </xf>
    <xf numFmtId="0" fontId="11" fillId="0" borderId="9" xfId="0" applyFont="1" applyFill="1" applyBorder="1"/>
    <xf numFmtId="0" fontId="11" fillId="0" borderId="9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right"/>
    </xf>
    <xf numFmtId="0" fontId="11" fillId="0" borderId="9" xfId="0" quotePrefix="1" applyFont="1" applyFill="1" applyBorder="1" applyAlignment="1">
      <alignment horizontal="center"/>
    </xf>
    <xf numFmtId="0" fontId="58" fillId="0" borderId="0" xfId="0" applyFont="1" applyFill="1"/>
    <xf numFmtId="0" fontId="10" fillId="0" borderId="0" xfId="0" quotePrefix="1" applyFont="1" applyFill="1"/>
    <xf numFmtId="164" fontId="10" fillId="0" borderId="0" xfId="35" applyNumberFormat="1" applyFont="1" applyFill="1"/>
    <xf numFmtId="44" fontId="10" fillId="0" borderId="0" xfId="0" applyNumberFormat="1" applyFont="1" applyFill="1"/>
    <xf numFmtId="190" fontId="10" fillId="0" borderId="0" xfId="66" applyNumberFormat="1" applyFont="1" applyFill="1"/>
    <xf numFmtId="10" fontId="10" fillId="0" borderId="0" xfId="66" applyNumberFormat="1" applyFont="1" applyFill="1"/>
    <xf numFmtId="0" fontId="10" fillId="0" borderId="0" xfId="0" quotePrefix="1" applyFont="1" applyFill="1" applyAlignment="1">
      <alignment horizontal="left"/>
    </xf>
    <xf numFmtId="0" fontId="10" fillId="0" borderId="0" xfId="0" applyFont="1" applyFill="1" applyAlignment="1">
      <alignment horizontal="left"/>
    </xf>
    <xf numFmtId="166" fontId="10" fillId="0" borderId="0" xfId="0" applyNumberFormat="1" applyFont="1" applyFill="1"/>
    <xf numFmtId="10" fontId="11" fillId="0" borderId="0" xfId="66" applyNumberFormat="1" applyFont="1" applyFill="1" applyBorder="1"/>
    <xf numFmtId="170" fontId="10" fillId="0" borderId="0" xfId="33" applyNumberFormat="1" applyFont="1" applyFill="1"/>
    <xf numFmtId="43" fontId="10" fillId="0" borderId="0" xfId="0" applyNumberFormat="1" applyFont="1" applyFill="1"/>
    <xf numFmtId="43" fontId="10" fillId="0" borderId="0" xfId="0" applyNumberFormat="1" applyFont="1" applyFill="1" applyAlignment="1">
      <alignment horizontal="right"/>
    </xf>
    <xf numFmtId="167" fontId="10" fillId="0" borderId="0" xfId="0" applyNumberFormat="1" applyFont="1" applyFill="1"/>
    <xf numFmtId="164" fontId="10" fillId="0" borderId="10" xfId="0" applyNumberFormat="1" applyFont="1" applyFill="1" applyBorder="1"/>
    <xf numFmtId="0" fontId="11" fillId="20" borderId="0" xfId="0" applyFont="1" applyFill="1"/>
    <xf numFmtId="0" fontId="10" fillId="20" borderId="0" xfId="0" applyFont="1" applyFill="1"/>
    <xf numFmtId="164" fontId="10" fillId="20" borderId="0" xfId="35" applyNumberFormat="1" applyFont="1" applyFill="1"/>
    <xf numFmtId="164" fontId="10" fillId="20" borderId="0" xfId="0" applyNumberFormat="1" applyFont="1" applyFill="1"/>
    <xf numFmtId="0" fontId="10" fillId="20" borderId="0" xfId="0" applyFont="1" applyFill="1" applyAlignment="1">
      <alignment horizontal="center"/>
    </xf>
    <xf numFmtId="0" fontId="10" fillId="20" borderId="0" xfId="0" quotePrefix="1" applyFont="1" applyFill="1"/>
    <xf numFmtId="164" fontId="10" fillId="20" borderId="10" xfId="35" applyNumberFormat="1" applyFont="1" applyFill="1" applyBorder="1"/>
    <xf numFmtId="164" fontId="10" fillId="0" borderId="10" xfId="35" applyNumberFormat="1" applyFont="1" applyFill="1" applyBorder="1"/>
    <xf numFmtId="164" fontId="10" fillId="20" borderId="10" xfId="0" applyNumberFormat="1" applyFont="1" applyFill="1" applyBorder="1"/>
    <xf numFmtId="164" fontId="10" fillId="20" borderId="0" xfId="35" applyNumberFormat="1" applyFont="1" applyFill="1" applyBorder="1"/>
    <xf numFmtId="164" fontId="10" fillId="0" borderId="0" xfId="35" applyNumberFormat="1" applyFont="1" applyFill="1" applyBorder="1"/>
    <xf numFmtId="10" fontId="10" fillId="20" borderId="0" xfId="66" applyNumberFormat="1" applyFont="1" applyFill="1"/>
    <xf numFmtId="164" fontId="10" fillId="20" borderId="0" xfId="0" applyNumberFormat="1" applyFont="1" applyFill="1" applyBorder="1"/>
    <xf numFmtId="166" fontId="10" fillId="0" borderId="0" xfId="0" applyNumberFormat="1" applyFont="1" applyFill="1" applyBorder="1"/>
    <xf numFmtId="0" fontId="10" fillId="0" borderId="0" xfId="0" applyFont="1" applyFill="1" applyAlignment="1">
      <alignment horizontal="right"/>
    </xf>
    <xf numFmtId="164" fontId="10" fillId="0" borderId="0" xfId="0" applyNumberFormat="1" applyFont="1" applyFill="1" applyAlignment="1">
      <alignment horizontal="right"/>
    </xf>
    <xf numFmtId="166" fontId="10" fillId="0" borderId="0" xfId="33" applyNumberFormat="1" applyFont="1" applyFill="1" applyAlignment="1">
      <alignment horizontal="right"/>
    </xf>
    <xf numFmtId="0" fontId="11" fillId="0" borderId="22" xfId="0" applyFont="1" applyFill="1" applyBorder="1"/>
    <xf numFmtId="0" fontId="11" fillId="0" borderId="23" xfId="0" applyFont="1" applyFill="1" applyBorder="1"/>
    <xf numFmtId="10" fontId="11" fillId="0" borderId="11" xfId="66" applyNumberFormat="1" applyFont="1" applyFill="1" applyBorder="1"/>
    <xf numFmtId="0" fontId="59" fillId="21" borderId="0" xfId="0" applyFont="1" applyFill="1"/>
    <xf numFmtId="0" fontId="10" fillId="21" borderId="0" xfId="0" applyFont="1" applyFill="1"/>
    <xf numFmtId="10" fontId="10" fillId="21" borderId="0" xfId="66" applyNumberFormat="1" applyFont="1" applyFill="1"/>
    <xf numFmtId="189" fontId="11" fillId="0" borderId="0" xfId="35" applyNumberFormat="1" applyFont="1" applyFill="1" applyBorder="1"/>
    <xf numFmtId="166" fontId="11" fillId="0" borderId="0" xfId="33" applyNumberFormat="1" applyFont="1" applyFill="1" applyBorder="1"/>
    <xf numFmtId="175" fontId="10" fillId="20" borderId="0" xfId="0" applyNumberFormat="1" applyFont="1" applyFill="1"/>
    <xf numFmtId="175" fontId="10" fillId="0" borderId="0" xfId="0" applyNumberFormat="1" applyFont="1" applyFill="1"/>
    <xf numFmtId="175" fontId="10" fillId="20" borderId="0" xfId="35" applyNumberFormat="1" applyFont="1" applyFill="1"/>
    <xf numFmtId="175" fontId="10" fillId="0" borderId="0" xfId="35" applyNumberFormat="1" applyFont="1" applyFill="1"/>
    <xf numFmtId="166" fontId="10" fillId="20" borderId="0" xfId="33" applyNumberFormat="1" applyFont="1" applyFill="1"/>
    <xf numFmtId="44" fontId="10" fillId="0" borderId="0" xfId="35" applyFont="1" applyFill="1"/>
    <xf numFmtId="164" fontId="10" fillId="0" borderId="0" xfId="0" applyNumberFormat="1" applyFont="1" applyFill="1" applyAlignment="1">
      <alignment horizontal="center"/>
    </xf>
    <xf numFmtId="176" fontId="10" fillId="0" borderId="0" xfId="0" applyNumberFormat="1" applyFont="1" applyFill="1" applyBorder="1"/>
    <xf numFmtId="180" fontId="10" fillId="0" borderId="0" xfId="66" applyNumberFormat="1" applyFont="1" applyFill="1"/>
    <xf numFmtId="44" fontId="10" fillId="0" borderId="0" xfId="35" applyNumberFormat="1" applyFont="1" applyFill="1"/>
    <xf numFmtId="0" fontId="59" fillId="0" borderId="0" xfId="0" applyFont="1" applyFill="1"/>
    <xf numFmtId="0" fontId="11" fillId="21" borderId="0" xfId="0" applyFont="1" applyFill="1"/>
    <xf numFmtId="164" fontId="10" fillId="21" borderId="0" xfId="0" applyNumberFormat="1" applyFont="1" applyFill="1"/>
    <xf numFmtId="0" fontId="10" fillId="21" borderId="0" xfId="0" applyFont="1" applyFill="1" applyAlignment="1">
      <alignment horizontal="right"/>
    </xf>
    <xf numFmtId="10" fontId="10" fillId="21" borderId="0" xfId="0" applyNumberFormat="1" applyFont="1" applyFill="1"/>
    <xf numFmtId="164" fontId="10" fillId="21" borderId="0" xfId="35" applyNumberFormat="1" applyFont="1" applyFill="1"/>
    <xf numFmtId="10" fontId="10" fillId="21" borderId="0" xfId="0" applyNumberFormat="1" applyFont="1" applyFill="1" applyAlignment="1">
      <alignment horizontal="right"/>
    </xf>
    <xf numFmtId="0" fontId="10" fillId="21" borderId="0" xfId="0" applyFont="1" applyFill="1" applyAlignment="1">
      <alignment horizontal="center"/>
    </xf>
    <xf numFmtId="0" fontId="10" fillId="21" borderId="0" xfId="0" applyFont="1" applyFill="1" applyBorder="1"/>
    <xf numFmtId="10" fontId="10" fillId="21" borderId="0" xfId="0" applyNumberFormat="1" applyFont="1" applyFill="1" applyBorder="1"/>
    <xf numFmtId="10" fontId="11" fillId="21" borderId="0" xfId="66" applyNumberFormat="1" applyFont="1" applyFill="1" applyBorder="1"/>
    <xf numFmtId="10" fontId="10" fillId="21" borderId="0" xfId="66" applyNumberFormat="1" applyFont="1" applyFill="1" applyAlignment="1">
      <alignment horizontal="right"/>
    </xf>
    <xf numFmtId="164" fontId="10" fillId="21" borderId="0" xfId="66" applyNumberFormat="1" applyFont="1" applyFill="1"/>
    <xf numFmtId="164" fontId="10" fillId="21" borderId="0" xfId="66" applyNumberFormat="1" applyFont="1" applyFill="1" applyAlignment="1">
      <alignment horizontal="right"/>
    </xf>
    <xf numFmtId="180" fontId="10" fillId="0" borderId="0" xfId="0" applyNumberFormat="1" applyFont="1" applyFill="1"/>
    <xf numFmtId="179" fontId="10" fillId="0" borderId="0" xfId="0" applyNumberFormat="1" applyFont="1" applyFill="1"/>
    <xf numFmtId="187" fontId="10" fillId="0" borderId="0" xfId="0" applyNumberFormat="1" applyFont="1" applyFill="1"/>
    <xf numFmtId="186" fontId="10" fillId="0" borderId="0" xfId="0" applyNumberFormat="1" applyFont="1" applyFill="1"/>
    <xf numFmtId="166" fontId="10" fillId="0" borderId="0" xfId="33" quotePrefix="1" applyNumberFormat="1" applyFont="1" applyFill="1"/>
    <xf numFmtId="43" fontId="10" fillId="0" borderId="0" xfId="33" applyNumberFormat="1" applyFont="1" applyFill="1"/>
    <xf numFmtId="43" fontId="10" fillId="0" borderId="0" xfId="0" applyNumberFormat="1" applyFont="1" applyFill="1" applyAlignment="1">
      <alignment horizontal="center"/>
    </xf>
    <xf numFmtId="43" fontId="10" fillId="0" borderId="0" xfId="33" applyFont="1" applyFill="1"/>
    <xf numFmtId="0" fontId="58" fillId="0" borderId="0" xfId="0" applyFont="1" applyFill="1" applyBorder="1"/>
    <xf numFmtId="166" fontId="10" fillId="0" borderId="0" xfId="0" applyNumberFormat="1" applyFont="1" applyFill="1" applyAlignment="1">
      <alignment horizontal="center"/>
    </xf>
    <xf numFmtId="176" fontId="10" fillId="0" borderId="0" xfId="0" applyNumberFormat="1" applyFont="1" applyFill="1"/>
    <xf numFmtId="166" fontId="10" fillId="20" borderId="10" xfId="33" applyNumberFormat="1" applyFont="1" applyFill="1" applyBorder="1"/>
    <xf numFmtId="166" fontId="10" fillId="0" borderId="10" xfId="33" applyNumberFormat="1" applyFont="1" applyFill="1" applyBorder="1"/>
    <xf numFmtId="166" fontId="10" fillId="20" borderId="0" xfId="33" applyNumberFormat="1" applyFont="1" applyFill="1" applyBorder="1"/>
    <xf numFmtId="166" fontId="10" fillId="0" borderId="0" xfId="33" applyNumberFormat="1" applyFont="1" applyFill="1" applyBorder="1"/>
    <xf numFmtId="166" fontId="10" fillId="20" borderId="0" xfId="0" applyNumberFormat="1" applyFont="1" applyFill="1"/>
    <xf numFmtId="172" fontId="10" fillId="20" borderId="0" xfId="0" applyNumberFormat="1" applyFont="1" applyFill="1"/>
    <xf numFmtId="172" fontId="10" fillId="0" borderId="0" xfId="0" applyNumberFormat="1" applyFont="1" applyFill="1"/>
    <xf numFmtId="44" fontId="10" fillId="20" borderId="0" xfId="35" applyFont="1" applyFill="1"/>
    <xf numFmtId="177" fontId="10" fillId="20" borderId="0" xfId="0" applyNumberFormat="1" applyFont="1" applyFill="1"/>
    <xf numFmtId="172" fontId="60" fillId="20" borderId="0" xfId="0" applyNumberFormat="1" applyFont="1" applyFill="1"/>
    <xf numFmtId="172" fontId="60" fillId="0" borderId="0" xfId="0" applyNumberFormat="1" applyFont="1" applyFill="1"/>
    <xf numFmtId="172" fontId="10" fillId="20" borderId="0" xfId="0" applyNumberFormat="1" applyFont="1" applyFill="1" applyBorder="1"/>
    <xf numFmtId="172" fontId="10" fillId="0" borderId="0" xfId="0" applyNumberFormat="1" applyFont="1" applyFill="1" applyBorder="1"/>
    <xf numFmtId="43" fontId="10" fillId="20" borderId="0" xfId="0" applyNumberFormat="1" applyFont="1" applyFill="1"/>
    <xf numFmtId="43" fontId="60" fillId="20" borderId="0" xfId="33" applyFont="1" applyFill="1"/>
    <xf numFmtId="43" fontId="60" fillId="0" borderId="0" xfId="33" applyFont="1" applyFill="1"/>
    <xf numFmtId="44" fontId="10" fillId="20" borderId="0" xfId="35" applyFont="1" applyFill="1" applyBorder="1"/>
    <xf numFmtId="44" fontId="10" fillId="0" borderId="0" xfId="35" applyFont="1" applyFill="1" applyBorder="1"/>
    <xf numFmtId="44" fontId="10" fillId="20" borderId="10" xfId="35" applyFont="1" applyFill="1" applyBorder="1"/>
    <xf numFmtId="44" fontId="10" fillId="0" borderId="10" xfId="35" applyFont="1" applyFill="1" applyBorder="1"/>
    <xf numFmtId="44" fontId="10" fillId="20" borderId="0" xfId="0" applyNumberFormat="1" applyFont="1" applyFill="1"/>
    <xf numFmtId="10" fontId="10" fillId="20" borderId="10" xfId="66" applyNumberFormat="1" applyFont="1" applyFill="1" applyBorder="1"/>
    <xf numFmtId="10" fontId="10" fillId="0" borderId="10" xfId="66" applyNumberFormat="1" applyFont="1" applyFill="1" applyBorder="1"/>
    <xf numFmtId="10" fontId="10" fillId="20" borderId="0" xfId="0" applyNumberFormat="1" applyFont="1" applyFill="1"/>
    <xf numFmtId="10" fontId="10" fillId="0" borderId="0" xfId="0" applyNumberFormat="1" applyFont="1" applyFill="1"/>
    <xf numFmtId="166" fontId="10" fillId="22" borderId="0" xfId="33" applyNumberFormat="1" applyFont="1" applyFill="1"/>
    <xf numFmtId="164" fontId="10" fillId="22" borderId="0" xfId="35" applyNumberFormat="1" applyFont="1" applyFill="1"/>
    <xf numFmtId="0" fontId="10" fillId="0" borderId="0" xfId="0" applyNumberFormat="1" applyFont="1" applyFill="1"/>
    <xf numFmtId="0" fontId="5" fillId="0" borderId="22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66" fontId="5" fillId="0" borderId="0" xfId="33" applyNumberFormat="1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</cellXfs>
  <cellStyles count="9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lumnAttributeAbovePrompt" xfId="28"/>
    <cellStyle name="ColumnAttributePrompt" xfId="29"/>
    <cellStyle name="ColumnAttributeValue" xfId="30"/>
    <cellStyle name="ColumnHeadingPrompt" xfId="31"/>
    <cellStyle name="ColumnHeadingValue" xfId="32"/>
    <cellStyle name="Comma" xfId="33" builtinId="3"/>
    <cellStyle name="Comma0" xfId="34"/>
    <cellStyle name="Currency" xfId="35" builtinId="4"/>
    <cellStyle name="Currency0" xfId="36"/>
    <cellStyle name="Date" xfId="37"/>
    <cellStyle name="Euro" xfId="38"/>
    <cellStyle name="Explanatory Text" xfId="39" builtinId="53" customBuiltin="1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Fixed" xfId="47"/>
    <cellStyle name="Good" xfId="48" builtinId="26" customBuiltin="1"/>
    <cellStyle name="Heading 1" xfId="49" builtinId="16" customBuiltin="1"/>
    <cellStyle name="Heading 2" xfId="50" builtinId="17" customBuiltin="1"/>
    <cellStyle name="Heading 3" xfId="51" builtinId="18" customBuiltin="1"/>
    <cellStyle name="Heading 4" xfId="52" builtinId="19" customBuiltin="1"/>
    <cellStyle name="Input" xfId="53" builtinId="20" customBuiltin="1"/>
    <cellStyle name="LineItemPrompt" xfId="54"/>
    <cellStyle name="LineItemValue" xfId="55"/>
    <cellStyle name="Linked Cell" xfId="56" builtinId="24" customBuiltin="1"/>
    <cellStyle name="Neutral" xfId="57" builtinId="28" customBuiltin="1"/>
    <cellStyle name="Normal" xfId="0" builtinId="0"/>
    <cellStyle name="Normal 39" xfId="58"/>
    <cellStyle name="Note" xfId="59" builtinId="10" customBuiltin="1"/>
    <cellStyle name="Output" xfId="60" builtinId="21" customBuiltin="1"/>
    <cellStyle name="Output Amounts" xfId="61"/>
    <cellStyle name="Output Column Headings" xfId="62"/>
    <cellStyle name="Output Line Items" xfId="63"/>
    <cellStyle name="Output Report Heading" xfId="64"/>
    <cellStyle name="Output Report Title" xfId="65"/>
    <cellStyle name="Percent" xfId="66" builtinId="5"/>
    <cellStyle name="ReportTitlePrompt" xfId="67"/>
    <cellStyle name="ReportTitleValue" xfId="68"/>
    <cellStyle name="RowAcctAbovePrompt" xfId="69"/>
    <cellStyle name="RowAcctSOBAbovePrompt" xfId="70"/>
    <cellStyle name="RowAcctSOBValue" xfId="71"/>
    <cellStyle name="RowAcctValue" xfId="72"/>
    <cellStyle name="RowAttrAbovePrompt" xfId="73"/>
    <cellStyle name="RowAttrValue" xfId="74"/>
    <cellStyle name="RowColSetAbovePrompt" xfId="75"/>
    <cellStyle name="RowColSetLeftPrompt" xfId="76"/>
    <cellStyle name="RowColSetValue" xfId="77"/>
    <cellStyle name="RowLeftPrompt" xfId="78"/>
    <cellStyle name="SampleUsingFormatMask" xfId="79"/>
    <cellStyle name="SampleWithNoFormatMask" xfId="80"/>
    <cellStyle name="STYL5 - Style5" xfId="81"/>
    <cellStyle name="STYL6 - Style6" xfId="82"/>
    <cellStyle name="STYLE1 - Style1" xfId="83"/>
    <cellStyle name="STYLE2 - Style2" xfId="84"/>
    <cellStyle name="STYLE3 - Style3" xfId="85"/>
    <cellStyle name="STYLE4 - Style4" xfId="86"/>
    <cellStyle name="Title" xfId="87" builtinId="15" customBuiltin="1"/>
    <cellStyle name="Total" xfId="88" builtinId="25" customBuiltin="1"/>
    <cellStyle name="UploadThisRowValue" xfId="89"/>
    <cellStyle name="Warning Text" xfId="90" builtinId="11" customBuiltin="1"/>
  </cellStyles>
  <dxfs count="1">
    <dxf>
      <font>
        <b/>
        <i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VID/PSC/MA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05Plan/Utility%20Plan/Margin/100504%20Version%20of%20GM%202005%20Plan/KU-Whsle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1999/FACJAN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s/LG&amp;E/2008/lge0308rep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6Plan/Utility%20Plan/Supporting%20Schedules/Gross%20Margin/Gross%20Margin%202006-2008%20Pla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RevRptg\Reports\Databas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onthly%20Reporting/Tax%20Report/LGE/LGELedger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BellarExhibit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e004977/Temporary%20Internet%20Files/OLK2D/Rate%20Case%20LGE%20Late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05Plan/Utility%20Plan/Margin/100504%20Version%20of%20GM%202005%20Plan/KU-Whsle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 List"/>
      <sheetName val="Support"/>
      <sheetName val="Report"/>
      <sheetName val="Cover"/>
      <sheetName val="dbase"/>
      <sheetName val="Invavg"/>
      <sheetName val="EGSpli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5">
          <cell r="G5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C Fuel Calc. Adj (Past)"/>
      <sheetName val="OVEC Fuel Calc. Adj (Current)"/>
      <sheetName val="dbase"/>
      <sheetName val="Sheet1"/>
      <sheetName val="Rate"/>
      <sheetName val="Cost"/>
      <sheetName val="kwh"/>
      <sheetName val="ov-un"/>
      <sheetName val="FAC Recon "/>
      <sheetName val="Forced Out"/>
      <sheetName val="focrmc"/>
      <sheetName val="fotc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WROWS1"/>
      <sheetName val="RWRACCTS1"/>
      <sheetName val="RWRCALCS1"/>
      <sheetName val="RWCOLUMNS1"/>
      <sheetName val="RWCACCTS1"/>
      <sheetName val="RWCCALCS1"/>
      <sheetName val="RWCEXCEPTIONS1"/>
      <sheetName val="RWCEXCEPTIONSDETAIL1"/>
      <sheetName val="RWROWORDERS1"/>
      <sheetName val="RWCONTENTS1"/>
      <sheetName val="RWDISPLAYROWS1"/>
      <sheetName val="RWDISPLAYCOLS1"/>
      <sheetName val="RWCONTROLVALUES1"/>
      <sheetName val="RWREPORT1"/>
      <sheetName val="CRITERIA1"/>
      <sheetName val="Index"/>
      <sheetName val="1"/>
      <sheetName val="2"/>
      <sheetName val="3"/>
      <sheetName val="4"/>
      <sheetName val="5"/>
      <sheetName val="6"/>
      <sheetName val="7-8"/>
      <sheetName val="9-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CODE"/>
      <sheetName val="22"/>
      <sheetName val="23"/>
      <sheetName val="24"/>
      <sheetName val="25"/>
      <sheetName val="26"/>
      <sheetName val="27"/>
      <sheetName val="28"/>
      <sheetName val="28.1"/>
      <sheetName val="28.2"/>
      <sheetName val="29"/>
      <sheetName val="29.1"/>
      <sheetName val="29.2"/>
      <sheetName val="30"/>
      <sheetName val="31"/>
      <sheetName val="32"/>
      <sheetName val="33"/>
      <sheetName val="33.1"/>
      <sheetName val="33.2"/>
      <sheetName val="34"/>
      <sheetName val="34.1"/>
      <sheetName val="34.2"/>
      <sheetName val="34.3"/>
      <sheetName val="34.4"/>
      <sheetName val="35"/>
      <sheetName val="36"/>
      <sheetName val="37"/>
      <sheetName val="38"/>
      <sheetName val="39"/>
      <sheetName val="40"/>
      <sheetName val="41"/>
      <sheetName val="check"/>
      <sheetName val="units"/>
      <sheetName val="validations"/>
      <sheetName val="Index1"/>
      <sheetName val="d1"/>
      <sheetName val="d2"/>
      <sheetName val="d3"/>
      <sheetName val="d5"/>
      <sheetName val="d7-10"/>
      <sheetName val="d11"/>
      <sheetName val="d12-13"/>
      <sheetName val="d14-15"/>
      <sheetName val="d16"/>
      <sheetName val="d17"/>
      <sheetName val="d18"/>
      <sheetName val="d19"/>
      <sheetName val="d20"/>
      <sheetName val="d23-24"/>
      <sheetName val="d26"/>
      <sheetName val="d27"/>
      <sheetName val="d28"/>
      <sheetName val="d28.1"/>
      <sheetName val="d28.2"/>
      <sheetName val="d29"/>
      <sheetName val="d29.1"/>
      <sheetName val="d29.2"/>
      <sheetName val="d30"/>
      <sheetName val="d31"/>
      <sheetName val="d32"/>
      <sheetName val="d33a"/>
      <sheetName val="d33b"/>
      <sheetName val="d33.1"/>
      <sheetName val="d33.2"/>
      <sheetName val="d34a"/>
      <sheetName val="d34b"/>
      <sheetName val="d34.1"/>
      <sheetName val="d34.2"/>
      <sheetName val="d34.3"/>
      <sheetName val="d34.4"/>
      <sheetName val="d35a"/>
      <sheetName val="d35b"/>
      <sheetName val="d36"/>
      <sheetName val="d37"/>
      <sheetName val="d38"/>
      <sheetName val="d39"/>
      <sheetName val="d40"/>
      <sheetName val="d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 Tab"/>
      <sheetName val="LGE Gross Margin-Inc.Stmt"/>
      <sheetName val="KU Gross Margin -Inc.Stmt"/>
      <sheetName val="Combined Gross Margin-Inc.Stmt"/>
      <sheetName val="LGE Retail Margin"/>
      <sheetName val="KU Retail Margin"/>
      <sheetName val="ODP Retail Margin"/>
      <sheetName val="Total KU Retail Margin"/>
      <sheetName val="Combined Retail Margin"/>
      <sheetName val="LGE OSS Margin"/>
      <sheetName val="KU OSS Margin"/>
      <sheetName val="Combined OSS Margin"/>
      <sheetName val="LGE Rev by Comp"/>
      <sheetName val="KU Rev by Comp"/>
      <sheetName val="Combined Rev by Comp"/>
      <sheetName val="LGE Cost of Sales"/>
      <sheetName val="KU Cost of Sales"/>
      <sheetName val="Combined Cost of Sales"/>
      <sheetName val="LGE Sales"/>
      <sheetName val="KU Sales"/>
      <sheetName val="ODP Sales"/>
      <sheetName val="Combined KU &amp; ODP Sales"/>
      <sheetName val="LGE Base Electric Revenues"/>
      <sheetName val="KU Base Electric Revenues"/>
      <sheetName val="ODP Base Electric Revenues"/>
      <sheetName val="Municipals Base Electric Revs"/>
      <sheetName val="Rate Case"/>
      <sheetName val="LGE Base Fuel &amp; FAC"/>
      <sheetName val="KU Base Fuel &amp; FAC"/>
      <sheetName val="LGE Other Electric-Gas Revenues"/>
      <sheetName val="KU Other Electric Revenues"/>
      <sheetName val="LG&amp;E ECR"/>
      <sheetName val="KU ECR"/>
      <sheetName val="LG&amp;E VDT"/>
      <sheetName val="KU VDT"/>
      <sheetName val="LG&amp;E DSM"/>
      <sheetName val="KU DSM "/>
      <sheetName val="Merger Surcredit"/>
      <sheetName val="LGE Misc Rev"/>
      <sheetName val="KU Misc Rev"/>
      <sheetName val="LGE Revenue Average Price"/>
      <sheetName val="KU Revenue Average Price "/>
      <sheetName val="LGE Require &amp; Source"/>
      <sheetName val="KU Require &amp; Source"/>
      <sheetName val="LGE Coal"/>
      <sheetName val="KU Coal "/>
      <sheetName val="LGE Gas Margin"/>
      <sheetName val="LGE Gas Revenue Summary"/>
      <sheetName val="LGE Base Gas Revenues"/>
      <sheetName val="LGE GSC Revenues"/>
      <sheetName val="Combined Balance Sheet"/>
      <sheetName val="LGE Electric Comparison"/>
      <sheetName val="KU Electric Comparison"/>
      <sheetName val="Combined Electric Comparison"/>
      <sheetName val="LGE Gas Comparison"/>
      <sheetName val="LGE Budget Inputs"/>
      <sheetName val="KU Budget Inputs"/>
      <sheetName val="ODP Budget Inputs"/>
      <sheetName val="LGE Budget Upload-2005"/>
      <sheetName val="KU Budget Upload-2005"/>
      <sheetName val="KU Revenue Accounting"/>
      <sheetName val="KU Summary of S&amp;R"/>
      <sheetName val="GM KPI 2006"/>
      <sheetName val="Annual_LGE"/>
      <sheetName val="Gross Margin 2006-2008 Plan"/>
      <sheetName val="LGE Gas-Ultimate Cons"/>
      <sheetName val="Combined Summary"/>
      <sheetName val="LGE Comparison"/>
      <sheetName val="KU Comparison"/>
      <sheetName val="Combined LGE &amp; KU Comparison"/>
      <sheetName val="LGE Reven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put"/>
      <sheetName val="RevDatabase"/>
      <sheetName val="BudgetDatabase"/>
      <sheetName val="KWHDistDatabase"/>
      <sheetName val="RevDatabase (2)"/>
    </sheetNames>
    <sheetDataSet>
      <sheetData sheetId="0"/>
      <sheetData sheetId="1" refreshError="1">
        <row r="12">
          <cell r="M12">
            <v>38541.687344907405</v>
          </cell>
          <cell r="O12">
            <v>38541.690394560188</v>
          </cell>
          <cell r="AE12">
            <v>38553.463117129628</v>
          </cell>
        </row>
        <row r="19">
          <cell r="K19">
            <v>6</v>
          </cell>
          <cell r="AE19">
            <v>7</v>
          </cell>
        </row>
        <row r="21">
          <cell r="K21">
            <v>2005</v>
          </cell>
          <cell r="AE21">
            <v>2005</v>
          </cell>
        </row>
        <row r="30">
          <cell r="M30">
            <v>31</v>
          </cell>
        </row>
        <row r="43">
          <cell r="M43">
            <v>1</v>
          </cell>
        </row>
        <row r="44">
          <cell r="M44">
            <v>2</v>
          </cell>
        </row>
        <row r="45">
          <cell r="M45">
            <v>3</v>
          </cell>
        </row>
        <row r="48">
          <cell r="M48">
            <v>4</v>
          </cell>
        </row>
        <row r="49">
          <cell r="M49">
            <v>5</v>
          </cell>
        </row>
        <row r="50">
          <cell r="M50">
            <v>6</v>
          </cell>
        </row>
        <row r="51">
          <cell r="M51">
            <v>7</v>
          </cell>
        </row>
        <row r="52">
          <cell r="M52">
            <v>8</v>
          </cell>
        </row>
        <row r="55">
          <cell r="M55">
            <v>9</v>
          </cell>
        </row>
        <row r="56">
          <cell r="M56">
            <v>10</v>
          </cell>
        </row>
        <row r="57">
          <cell r="M57">
            <v>11</v>
          </cell>
        </row>
        <row r="58">
          <cell r="M58">
            <v>12</v>
          </cell>
        </row>
        <row r="59">
          <cell r="M59">
            <v>13</v>
          </cell>
        </row>
        <row r="62">
          <cell r="M62">
            <v>14</v>
          </cell>
        </row>
        <row r="63">
          <cell r="M63">
            <v>15</v>
          </cell>
        </row>
        <row r="64">
          <cell r="M64">
            <v>16</v>
          </cell>
        </row>
        <row r="65">
          <cell r="M65">
            <v>17</v>
          </cell>
        </row>
        <row r="66">
          <cell r="M66">
            <v>18</v>
          </cell>
        </row>
        <row r="70">
          <cell r="M70">
            <v>19</v>
          </cell>
        </row>
        <row r="71">
          <cell r="M71">
            <v>20</v>
          </cell>
        </row>
        <row r="100">
          <cell r="O100">
            <v>0</v>
          </cell>
          <cell r="Q100">
            <v>0</v>
          </cell>
        </row>
        <row r="110">
          <cell r="O110">
            <v>1.1800000000000001E-3</v>
          </cell>
          <cell r="Q110">
            <v>2.0129999999999999E-2</v>
          </cell>
        </row>
        <row r="116">
          <cell r="O116">
            <v>2.01E-2</v>
          </cell>
        </row>
        <row r="118">
          <cell r="O118">
            <v>-2.503E-2</v>
          </cell>
          <cell r="Q118">
            <v>-1.23E-3</v>
          </cell>
        </row>
        <row r="120">
          <cell r="O120">
            <v>0</v>
          </cell>
        </row>
        <row r="122">
          <cell r="O122">
            <v>-4.1000000000000003E-3</v>
          </cell>
        </row>
        <row r="133">
          <cell r="M133">
            <v>1909011000</v>
          </cell>
          <cell r="O133">
            <v>71598689</v>
          </cell>
        </row>
        <row r="136">
          <cell r="M136">
            <v>109879303</v>
          </cell>
          <cell r="O136">
            <v>4786499</v>
          </cell>
        </row>
        <row r="139">
          <cell r="O139">
            <v>68971241</v>
          </cell>
        </row>
        <row r="142">
          <cell r="O142">
            <v>4500</v>
          </cell>
        </row>
        <row r="151">
          <cell r="O151">
            <v>55618</v>
          </cell>
        </row>
        <row r="152">
          <cell r="O152">
            <v>54587</v>
          </cell>
        </row>
        <row r="153">
          <cell r="O153">
            <v>57093</v>
          </cell>
        </row>
        <row r="154">
          <cell r="O154">
            <v>55989</v>
          </cell>
        </row>
        <row r="155">
          <cell r="O155">
            <v>58583</v>
          </cell>
        </row>
        <row r="156">
          <cell r="O156">
            <v>72619</v>
          </cell>
        </row>
        <row r="157">
          <cell r="O157">
            <v>69053</v>
          </cell>
        </row>
        <row r="158">
          <cell r="O158">
            <v>70289</v>
          </cell>
        </row>
        <row r="159">
          <cell r="O159">
            <v>70745</v>
          </cell>
        </row>
        <row r="160">
          <cell r="O160">
            <v>69742</v>
          </cell>
        </row>
        <row r="161">
          <cell r="O161">
            <v>56625</v>
          </cell>
        </row>
        <row r="162">
          <cell r="O162">
            <v>56514</v>
          </cell>
        </row>
        <row r="163">
          <cell r="O163">
            <v>59021</v>
          </cell>
        </row>
        <row r="164">
          <cell r="O164">
            <v>70651</v>
          </cell>
        </row>
        <row r="165">
          <cell r="O165">
            <v>66257</v>
          </cell>
        </row>
        <row r="166">
          <cell r="O166">
            <v>61762</v>
          </cell>
        </row>
        <row r="167">
          <cell r="O167">
            <v>58610</v>
          </cell>
        </row>
        <row r="168">
          <cell r="O168">
            <v>51014</v>
          </cell>
        </row>
        <row r="169">
          <cell r="O169">
            <v>50094</v>
          </cell>
        </row>
        <row r="170">
          <cell r="O170">
            <v>61324</v>
          </cell>
        </row>
        <row r="171">
          <cell r="O171">
            <v>64326</v>
          </cell>
        </row>
        <row r="172">
          <cell r="O172">
            <v>68072</v>
          </cell>
        </row>
        <row r="173">
          <cell r="O173">
            <v>68409</v>
          </cell>
        </row>
        <row r="174">
          <cell r="O174">
            <v>69340</v>
          </cell>
        </row>
        <row r="175">
          <cell r="O175">
            <v>65399</v>
          </cell>
        </row>
        <row r="176">
          <cell r="O176">
            <v>62370</v>
          </cell>
        </row>
        <row r="177">
          <cell r="O177">
            <v>71963</v>
          </cell>
        </row>
        <row r="178">
          <cell r="O178">
            <v>92580</v>
          </cell>
        </row>
        <row r="179">
          <cell r="O179">
            <v>73612</v>
          </cell>
        </row>
        <row r="180">
          <cell r="O180">
            <v>75222</v>
          </cell>
        </row>
        <row r="259">
          <cell r="O259">
            <v>0</v>
          </cell>
        </row>
        <row r="262">
          <cell r="O262">
            <v>0</v>
          </cell>
        </row>
        <row r="265">
          <cell r="O265">
            <v>0</v>
          </cell>
        </row>
        <row r="268">
          <cell r="O268">
            <v>0</v>
          </cell>
        </row>
        <row r="269">
          <cell r="O269">
            <v>0</v>
          </cell>
        </row>
        <row r="271">
          <cell r="O271">
            <v>3500</v>
          </cell>
        </row>
        <row r="272">
          <cell r="O272">
            <v>13182.6</v>
          </cell>
        </row>
        <row r="274">
          <cell r="O274">
            <v>0</v>
          </cell>
        </row>
        <row r="277">
          <cell r="O277">
            <v>0</v>
          </cell>
        </row>
        <row r="280">
          <cell r="O280">
            <v>0</v>
          </cell>
        </row>
        <row r="283">
          <cell r="O283">
            <v>0</v>
          </cell>
        </row>
        <row r="296">
          <cell r="G296">
            <v>0</v>
          </cell>
          <cell r="I296">
            <v>0</v>
          </cell>
          <cell r="K296">
            <v>0</v>
          </cell>
          <cell r="M296">
            <v>0</v>
          </cell>
          <cell r="O296">
            <v>0</v>
          </cell>
          <cell r="Q296">
            <v>0</v>
          </cell>
        </row>
        <row r="306">
          <cell r="I306">
            <v>0</v>
          </cell>
          <cell r="K306">
            <v>0</v>
          </cell>
        </row>
        <row r="316">
          <cell r="K316">
            <v>0</v>
          </cell>
          <cell r="M316">
            <v>0</v>
          </cell>
          <cell r="O316">
            <v>0</v>
          </cell>
          <cell r="Q316">
            <v>0</v>
          </cell>
        </row>
        <row r="318">
          <cell r="K318">
            <v>0</v>
          </cell>
          <cell r="M318">
            <v>0</v>
          </cell>
          <cell r="O318">
            <v>0</v>
          </cell>
          <cell r="Q318">
            <v>0</v>
          </cell>
        </row>
        <row r="328">
          <cell r="K328">
            <v>0</v>
          </cell>
          <cell r="M328">
            <v>0</v>
          </cell>
        </row>
        <row r="330">
          <cell r="K330">
            <v>0</v>
          </cell>
          <cell r="M330">
            <v>0</v>
          </cell>
        </row>
        <row r="345">
          <cell r="M345">
            <v>0</v>
          </cell>
          <cell r="O345">
            <v>0</v>
          </cell>
        </row>
        <row r="347">
          <cell r="K347">
            <v>180189000</v>
          </cell>
          <cell r="M347">
            <v>0</v>
          </cell>
          <cell r="O347">
            <v>7692007.3200000003</v>
          </cell>
        </row>
        <row r="349">
          <cell r="K349">
            <v>0</v>
          </cell>
          <cell r="M349">
            <v>0</v>
          </cell>
          <cell r="O349">
            <v>0</v>
          </cell>
        </row>
        <row r="355">
          <cell r="K355">
            <v>145395000</v>
          </cell>
          <cell r="M355">
            <v>0</v>
          </cell>
          <cell r="O355">
            <v>5898152.6699999999</v>
          </cell>
        </row>
        <row r="362">
          <cell r="K362">
            <v>0</v>
          </cell>
          <cell r="M362">
            <v>0</v>
          </cell>
          <cell r="O362">
            <v>0</v>
          </cell>
        </row>
        <row r="364">
          <cell r="K364">
            <v>3622984</v>
          </cell>
          <cell r="M364">
            <v>0</v>
          </cell>
          <cell r="O364">
            <v>338534.34</v>
          </cell>
        </row>
        <row r="370">
          <cell r="K370">
            <v>0</v>
          </cell>
          <cell r="M370">
            <v>0</v>
          </cell>
          <cell r="O370">
            <v>0</v>
          </cell>
        </row>
        <row r="383">
          <cell r="M383">
            <v>0</v>
          </cell>
        </row>
        <row r="385">
          <cell r="M385">
            <v>0</v>
          </cell>
        </row>
        <row r="387">
          <cell r="M387">
            <v>0</v>
          </cell>
        </row>
        <row r="389">
          <cell r="O389">
            <v>0</v>
          </cell>
        </row>
        <row r="391">
          <cell r="M391">
            <v>0</v>
          </cell>
          <cell r="O391">
            <v>0</v>
          </cell>
        </row>
        <row r="406">
          <cell r="M406">
            <v>409909.69</v>
          </cell>
        </row>
        <row r="408">
          <cell r="M408">
            <v>201457.04</v>
          </cell>
        </row>
        <row r="410">
          <cell r="M410">
            <v>11913.36</v>
          </cell>
        </row>
        <row r="412">
          <cell r="M412">
            <v>35686.78</v>
          </cell>
        </row>
        <row r="414">
          <cell r="M414">
            <v>220.03</v>
          </cell>
        </row>
        <row r="416">
          <cell r="M416">
            <v>6.72</v>
          </cell>
        </row>
        <row r="418">
          <cell r="M418">
            <v>2.95</v>
          </cell>
        </row>
        <row r="424">
          <cell r="M424">
            <v>0</v>
          </cell>
        </row>
        <row r="433">
          <cell r="M433">
            <v>1220732.58</v>
          </cell>
          <cell r="O433">
            <v>10989.78</v>
          </cell>
        </row>
      </sheetData>
      <sheetData sheetId="2"/>
      <sheetData sheetId="3" refreshError="1">
        <row r="5">
          <cell r="J5">
            <v>38504</v>
          </cell>
          <cell r="K5">
            <v>38473</v>
          </cell>
          <cell r="L5">
            <v>38443</v>
          </cell>
          <cell r="M5">
            <v>38412</v>
          </cell>
          <cell r="N5">
            <v>38384</v>
          </cell>
          <cell r="O5">
            <v>38353</v>
          </cell>
          <cell r="P5">
            <v>38322</v>
          </cell>
          <cell r="Q5">
            <v>38292</v>
          </cell>
          <cell r="R5">
            <v>38261</v>
          </cell>
          <cell r="S5">
            <v>38231</v>
          </cell>
          <cell r="T5">
            <v>38200</v>
          </cell>
          <cell r="U5">
            <v>38169</v>
          </cell>
          <cell r="V5">
            <v>38139</v>
          </cell>
          <cell r="W5">
            <v>38108</v>
          </cell>
          <cell r="X5">
            <v>38078</v>
          </cell>
          <cell r="Y5">
            <v>38047</v>
          </cell>
          <cell r="Z5">
            <v>38018</v>
          </cell>
          <cell r="AA5">
            <v>37987</v>
          </cell>
          <cell r="AB5">
            <v>37956</v>
          </cell>
          <cell r="AC5">
            <v>37926</v>
          </cell>
          <cell r="AD5">
            <v>37895</v>
          </cell>
          <cell r="AE5">
            <v>37865</v>
          </cell>
          <cell r="AF5">
            <v>37834</v>
          </cell>
          <cell r="AG5">
            <v>37803</v>
          </cell>
          <cell r="AH5">
            <v>37773</v>
          </cell>
          <cell r="AJ5">
            <v>38473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J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J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J10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J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J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J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</row>
        <row r="31"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J38">
            <v>0</v>
          </cell>
        </row>
        <row r="40">
          <cell r="J40">
            <v>419185869</v>
          </cell>
          <cell r="K40">
            <v>348705654</v>
          </cell>
          <cell r="L40">
            <v>445763677</v>
          </cell>
          <cell r="M40">
            <v>501016562</v>
          </cell>
          <cell r="N40">
            <v>569345574</v>
          </cell>
          <cell r="O40">
            <v>697156928</v>
          </cell>
          <cell r="P40">
            <v>338833591</v>
          </cell>
          <cell r="Q40">
            <v>247369974</v>
          </cell>
          <cell r="R40">
            <v>234302586</v>
          </cell>
          <cell r="S40">
            <v>348643287</v>
          </cell>
          <cell r="T40">
            <v>378399000</v>
          </cell>
          <cell r="U40">
            <v>386762447</v>
          </cell>
          <cell r="V40">
            <v>294265744</v>
          </cell>
          <cell r="W40">
            <v>231025040</v>
          </cell>
          <cell r="X40">
            <v>274732486</v>
          </cell>
          <cell r="Y40">
            <v>323105410</v>
          </cell>
          <cell r="Z40">
            <v>370514475</v>
          </cell>
          <cell r="AA40">
            <v>435684653</v>
          </cell>
          <cell r="AB40">
            <v>325161377</v>
          </cell>
          <cell r="AC40">
            <v>232496144</v>
          </cell>
          <cell r="AD40">
            <v>237819479</v>
          </cell>
          <cell r="AE40">
            <v>325651647</v>
          </cell>
          <cell r="AF40">
            <v>386600461</v>
          </cell>
          <cell r="AG40">
            <v>367706272</v>
          </cell>
          <cell r="AH40">
            <v>285560751</v>
          </cell>
          <cell r="AJ40">
            <v>348705654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187017460</v>
          </cell>
          <cell r="Q41">
            <v>130677260</v>
          </cell>
          <cell r="R41">
            <v>105630697</v>
          </cell>
          <cell r="S41">
            <v>145665870</v>
          </cell>
          <cell r="T41">
            <v>158019901</v>
          </cell>
          <cell r="U41">
            <v>163493490</v>
          </cell>
          <cell r="V41">
            <v>130265199</v>
          </cell>
          <cell r="W41">
            <v>107535448</v>
          </cell>
          <cell r="X41">
            <v>147043134</v>
          </cell>
          <cell r="Y41">
            <v>183285426</v>
          </cell>
          <cell r="Z41">
            <v>212355642</v>
          </cell>
          <cell r="AA41">
            <v>252839460</v>
          </cell>
          <cell r="AB41">
            <v>176380963</v>
          </cell>
          <cell r="AC41">
            <v>122982733</v>
          </cell>
          <cell r="AD41">
            <v>110735254</v>
          </cell>
          <cell r="AE41">
            <v>137713282</v>
          </cell>
          <cell r="AF41">
            <v>161900687</v>
          </cell>
          <cell r="AG41">
            <v>155843395</v>
          </cell>
          <cell r="AH41">
            <v>126018785</v>
          </cell>
          <cell r="AJ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47246145</v>
          </cell>
          <cell r="Q42">
            <v>40186287</v>
          </cell>
          <cell r="R42">
            <v>41619926</v>
          </cell>
          <cell r="S42">
            <v>49389991</v>
          </cell>
          <cell r="T42">
            <v>48417009</v>
          </cell>
          <cell r="U42">
            <v>48270259</v>
          </cell>
          <cell r="V42">
            <v>43695002</v>
          </cell>
          <cell r="W42">
            <v>38110692</v>
          </cell>
          <cell r="X42">
            <v>41573683</v>
          </cell>
          <cell r="Y42">
            <v>44536855</v>
          </cell>
          <cell r="Z42">
            <v>48292708</v>
          </cell>
          <cell r="AA42">
            <v>53736782</v>
          </cell>
          <cell r="AB42">
            <v>45298617</v>
          </cell>
          <cell r="AC42">
            <v>39756532</v>
          </cell>
          <cell r="AD42">
            <v>40417272</v>
          </cell>
          <cell r="AE42">
            <v>47624041</v>
          </cell>
          <cell r="AF42">
            <v>48928479</v>
          </cell>
          <cell r="AG42">
            <v>47279397</v>
          </cell>
          <cell r="AH42">
            <v>42290163</v>
          </cell>
          <cell r="AJ42">
            <v>0</v>
          </cell>
        </row>
        <row r="43">
          <cell r="J43">
            <v>372380652</v>
          </cell>
          <cell r="K43">
            <v>324280804</v>
          </cell>
          <cell r="L43">
            <v>317049048</v>
          </cell>
          <cell r="M43">
            <v>328417951</v>
          </cell>
          <cell r="N43">
            <v>347166583</v>
          </cell>
          <cell r="O43">
            <v>381363518</v>
          </cell>
          <cell r="P43">
            <v>293808944</v>
          </cell>
          <cell r="Q43">
            <v>265077677</v>
          </cell>
          <cell r="R43">
            <v>291077918</v>
          </cell>
          <cell r="S43">
            <v>349085244</v>
          </cell>
          <cell r="T43">
            <v>342282631</v>
          </cell>
          <cell r="U43">
            <v>354059066</v>
          </cell>
          <cell r="V43">
            <v>313710971</v>
          </cell>
          <cell r="W43">
            <v>274988572</v>
          </cell>
          <cell r="X43">
            <v>268458345</v>
          </cell>
          <cell r="Y43">
            <v>271136290</v>
          </cell>
          <cell r="Z43">
            <v>286022529</v>
          </cell>
          <cell r="AA43">
            <v>309144140</v>
          </cell>
          <cell r="AB43">
            <v>295817234</v>
          </cell>
          <cell r="AC43">
            <v>268684707</v>
          </cell>
          <cell r="AD43">
            <v>284450933</v>
          </cell>
          <cell r="AE43">
            <v>337248054</v>
          </cell>
          <cell r="AF43">
            <v>350751861</v>
          </cell>
          <cell r="AG43">
            <v>348604623</v>
          </cell>
          <cell r="AH43">
            <v>314645846</v>
          </cell>
          <cell r="AJ43">
            <v>324280804</v>
          </cell>
        </row>
        <row r="44">
          <cell r="J44">
            <v>458061348</v>
          </cell>
          <cell r="K44">
            <v>444606417</v>
          </cell>
          <cell r="L44">
            <v>422222985</v>
          </cell>
          <cell r="M44">
            <v>427612535</v>
          </cell>
          <cell r="N44">
            <v>428298939</v>
          </cell>
          <cell r="O44">
            <v>426048278</v>
          </cell>
          <cell r="P44">
            <v>458919475</v>
          </cell>
          <cell r="Q44">
            <v>453189558</v>
          </cell>
          <cell r="R44">
            <v>456071954</v>
          </cell>
          <cell r="S44">
            <v>499347424</v>
          </cell>
          <cell r="T44">
            <v>461003541</v>
          </cell>
          <cell r="U44">
            <v>462838983</v>
          </cell>
          <cell r="V44">
            <v>464770845</v>
          </cell>
          <cell r="W44">
            <v>451662695</v>
          </cell>
          <cell r="X44">
            <v>440391952</v>
          </cell>
          <cell r="Y44">
            <v>424591402</v>
          </cell>
          <cell r="Z44">
            <v>429479422</v>
          </cell>
          <cell r="AA44">
            <v>420144187</v>
          </cell>
          <cell r="AB44">
            <v>436070806</v>
          </cell>
          <cell r="AC44">
            <v>438159483</v>
          </cell>
          <cell r="AD44">
            <v>449486108</v>
          </cell>
          <cell r="AE44">
            <v>471797149</v>
          </cell>
          <cell r="AF44">
            <v>464635083</v>
          </cell>
          <cell r="AG44">
            <v>454449553</v>
          </cell>
          <cell r="AH44">
            <v>459414836</v>
          </cell>
          <cell r="AJ44">
            <v>444606417</v>
          </cell>
        </row>
        <row r="45">
          <cell r="J45">
            <v>41051753</v>
          </cell>
          <cell r="K45">
            <v>40464689</v>
          </cell>
          <cell r="L45">
            <v>44400053</v>
          </cell>
          <cell r="M45">
            <v>47524035</v>
          </cell>
          <cell r="N45">
            <v>47036276</v>
          </cell>
          <cell r="O45">
            <v>49062950</v>
          </cell>
          <cell r="P45">
            <v>46726057</v>
          </cell>
          <cell r="Q45">
            <v>45725982</v>
          </cell>
          <cell r="R45">
            <v>41653502</v>
          </cell>
          <cell r="S45">
            <v>43540838</v>
          </cell>
          <cell r="T45">
            <v>41471734</v>
          </cell>
          <cell r="U45">
            <v>37636971</v>
          </cell>
          <cell r="V45">
            <v>43029626</v>
          </cell>
          <cell r="W45">
            <v>40748396</v>
          </cell>
          <cell r="X45">
            <v>45915756</v>
          </cell>
          <cell r="Y45">
            <v>48922730</v>
          </cell>
          <cell r="Z45">
            <v>48620235</v>
          </cell>
          <cell r="AA45">
            <v>50986883</v>
          </cell>
          <cell r="AB45">
            <v>44827516</v>
          </cell>
          <cell r="AC45">
            <v>43922254</v>
          </cell>
          <cell r="AD45">
            <v>40646644</v>
          </cell>
          <cell r="AE45">
            <v>41312924</v>
          </cell>
          <cell r="AF45">
            <v>41079125</v>
          </cell>
          <cell r="AG45">
            <v>35841365</v>
          </cell>
          <cell r="AH45">
            <v>41919123</v>
          </cell>
          <cell r="AJ45">
            <v>40464689</v>
          </cell>
        </row>
        <row r="46">
          <cell r="J46">
            <v>4262471</v>
          </cell>
          <cell r="K46">
            <v>4188599</v>
          </cell>
          <cell r="L46">
            <v>4576520</v>
          </cell>
          <cell r="M46">
            <v>5116286</v>
          </cell>
          <cell r="N46">
            <v>5106227</v>
          </cell>
          <cell r="O46">
            <v>5886500</v>
          </cell>
          <cell r="P46">
            <v>6100235</v>
          </cell>
          <cell r="Q46">
            <v>5559259</v>
          </cell>
          <cell r="R46">
            <v>5248977</v>
          </cell>
          <cell r="S46">
            <v>4857934</v>
          </cell>
          <cell r="T46">
            <v>4326706</v>
          </cell>
          <cell r="U46">
            <v>4270886</v>
          </cell>
          <cell r="V46">
            <v>4058532</v>
          </cell>
          <cell r="W46">
            <v>4076931</v>
          </cell>
          <cell r="X46">
            <v>4498007</v>
          </cell>
          <cell r="Y46">
            <v>5068226</v>
          </cell>
          <cell r="Z46">
            <v>5099089</v>
          </cell>
          <cell r="AA46">
            <v>5586954</v>
          </cell>
          <cell r="AB46">
            <v>6475862</v>
          </cell>
          <cell r="AC46">
            <v>5754170</v>
          </cell>
          <cell r="AD46">
            <v>5380564</v>
          </cell>
          <cell r="AE46">
            <v>4815634</v>
          </cell>
          <cell r="AF46">
            <v>4515600</v>
          </cell>
          <cell r="AG46">
            <v>4347822</v>
          </cell>
          <cell r="AH46">
            <v>4219468</v>
          </cell>
          <cell r="AJ46">
            <v>4188599</v>
          </cell>
        </row>
        <row r="47">
          <cell r="J47">
            <v>125487281</v>
          </cell>
          <cell r="K47">
            <v>113342398</v>
          </cell>
          <cell r="L47">
            <v>108088969</v>
          </cell>
          <cell r="M47">
            <v>109633801</v>
          </cell>
          <cell r="N47">
            <v>116675357</v>
          </cell>
          <cell r="O47">
            <v>121239038</v>
          </cell>
          <cell r="P47">
            <v>112691610</v>
          </cell>
          <cell r="Q47">
            <v>102228229</v>
          </cell>
          <cell r="R47">
            <v>115200135</v>
          </cell>
          <cell r="S47">
            <v>144121891</v>
          </cell>
          <cell r="T47">
            <v>129564720</v>
          </cell>
          <cell r="U47">
            <v>133066066</v>
          </cell>
          <cell r="V47">
            <v>120648071</v>
          </cell>
          <cell r="W47">
            <v>107652260</v>
          </cell>
          <cell r="X47">
            <v>105198162</v>
          </cell>
          <cell r="Y47">
            <v>107745101</v>
          </cell>
          <cell r="Z47">
            <v>112111053</v>
          </cell>
          <cell r="AA47">
            <v>114687368</v>
          </cell>
          <cell r="AB47">
            <v>114672698</v>
          </cell>
          <cell r="AC47">
            <v>102604299</v>
          </cell>
          <cell r="AD47">
            <v>113731529</v>
          </cell>
          <cell r="AE47">
            <v>139719175</v>
          </cell>
          <cell r="AF47">
            <v>131312225</v>
          </cell>
          <cell r="AG47">
            <v>130832395</v>
          </cell>
          <cell r="AH47">
            <v>118066259</v>
          </cell>
          <cell r="AJ47">
            <v>113342398</v>
          </cell>
        </row>
        <row r="48">
          <cell r="J48">
            <v>7328650</v>
          </cell>
          <cell r="K48">
            <v>6469062</v>
          </cell>
          <cell r="L48">
            <v>6792070</v>
          </cell>
          <cell r="M48">
            <v>6881070</v>
          </cell>
          <cell r="N48">
            <v>7269258</v>
          </cell>
          <cell r="O48">
            <v>7914433</v>
          </cell>
          <cell r="P48">
            <v>7079236</v>
          </cell>
          <cell r="Q48">
            <v>6357690</v>
          </cell>
          <cell r="R48">
            <v>6642771</v>
          </cell>
          <cell r="S48">
            <v>7389553</v>
          </cell>
          <cell r="T48">
            <v>6971102</v>
          </cell>
          <cell r="U48">
            <v>7565122</v>
          </cell>
          <cell r="V48">
            <v>6949076</v>
          </cell>
          <cell r="W48">
            <v>6410850</v>
          </cell>
          <cell r="X48">
            <v>6695783</v>
          </cell>
          <cell r="Y48">
            <v>6747031</v>
          </cell>
          <cell r="Z48">
            <v>7199795</v>
          </cell>
          <cell r="AA48">
            <v>7768520</v>
          </cell>
          <cell r="AB48">
            <v>7369886</v>
          </cell>
          <cell r="AC48">
            <v>6658170</v>
          </cell>
          <cell r="AD48">
            <v>6805989</v>
          </cell>
          <cell r="AE48">
            <v>7386413</v>
          </cell>
          <cell r="AF48">
            <v>7203842</v>
          </cell>
          <cell r="AG48">
            <v>7939602</v>
          </cell>
          <cell r="AH48">
            <v>7056039</v>
          </cell>
          <cell r="AJ48">
            <v>6469062</v>
          </cell>
        </row>
        <row r="49">
          <cell r="J49">
            <v>183979876</v>
          </cell>
          <cell r="K49">
            <v>155410564</v>
          </cell>
          <cell r="L49">
            <v>143248112</v>
          </cell>
          <cell r="M49">
            <v>155191874</v>
          </cell>
          <cell r="N49">
            <v>148130189</v>
          </cell>
          <cell r="O49">
            <v>167978825</v>
          </cell>
          <cell r="P49">
            <v>165283240</v>
          </cell>
          <cell r="Q49">
            <v>147678143</v>
          </cell>
          <cell r="R49">
            <v>151622300</v>
          </cell>
          <cell r="S49">
            <v>170317962</v>
          </cell>
          <cell r="T49">
            <v>206103593</v>
          </cell>
          <cell r="U49">
            <v>206577568</v>
          </cell>
          <cell r="V49">
            <v>185328431</v>
          </cell>
          <cell r="W49">
            <v>156323385</v>
          </cell>
          <cell r="X49">
            <v>144067280</v>
          </cell>
          <cell r="Y49">
            <v>156153907</v>
          </cell>
          <cell r="Z49">
            <v>148886597</v>
          </cell>
          <cell r="AA49">
            <v>169171204</v>
          </cell>
          <cell r="AB49">
            <v>160730705</v>
          </cell>
          <cell r="AC49">
            <v>145186498</v>
          </cell>
          <cell r="AD49">
            <v>145552985</v>
          </cell>
          <cell r="AE49">
            <v>160928684</v>
          </cell>
          <cell r="AF49">
            <v>197224462</v>
          </cell>
          <cell r="AG49">
            <v>197887348</v>
          </cell>
          <cell r="AH49">
            <v>177593886</v>
          </cell>
          <cell r="AJ49">
            <v>155410564</v>
          </cell>
        </row>
        <row r="50">
          <cell r="J50">
            <v>47416165</v>
          </cell>
          <cell r="K50">
            <v>30440713</v>
          </cell>
          <cell r="L50">
            <v>22512344</v>
          </cell>
          <cell r="M50">
            <v>92175162</v>
          </cell>
          <cell r="N50">
            <v>24038192</v>
          </cell>
          <cell r="O50">
            <v>65549101</v>
          </cell>
          <cell r="P50">
            <v>39038402</v>
          </cell>
          <cell r="Q50">
            <v>28193420</v>
          </cell>
          <cell r="R50">
            <v>101363630</v>
          </cell>
          <cell r="S50">
            <v>105870609</v>
          </cell>
          <cell r="T50">
            <v>90807833</v>
          </cell>
          <cell r="U50">
            <v>75762478</v>
          </cell>
          <cell r="V50">
            <v>96792375</v>
          </cell>
          <cell r="W50">
            <v>74579615</v>
          </cell>
          <cell r="X50">
            <v>5032100</v>
          </cell>
          <cell r="Y50">
            <v>12132019</v>
          </cell>
          <cell r="Z50">
            <v>8176886</v>
          </cell>
          <cell r="AA50">
            <v>33597823</v>
          </cell>
          <cell r="AB50">
            <v>191745071</v>
          </cell>
          <cell r="AC50">
            <v>168343361</v>
          </cell>
          <cell r="AD50">
            <v>108029900</v>
          </cell>
          <cell r="AE50">
            <v>126664640</v>
          </cell>
          <cell r="AF50">
            <v>120205704</v>
          </cell>
          <cell r="AG50">
            <v>136637911</v>
          </cell>
          <cell r="AH50">
            <v>195872184</v>
          </cell>
          <cell r="AJ50">
            <v>30440713</v>
          </cell>
        </row>
        <row r="51">
          <cell r="J51">
            <v>175947600</v>
          </cell>
          <cell r="K51">
            <v>185927700</v>
          </cell>
          <cell r="L51">
            <v>252458500</v>
          </cell>
          <cell r="M51">
            <v>361648800</v>
          </cell>
          <cell r="N51">
            <v>338225200</v>
          </cell>
          <cell r="O51">
            <v>382468700</v>
          </cell>
          <cell r="P51">
            <v>306898500</v>
          </cell>
          <cell r="Q51">
            <v>229405800</v>
          </cell>
          <cell r="R51">
            <v>239473700</v>
          </cell>
          <cell r="S51">
            <v>160869100</v>
          </cell>
          <cell r="T51">
            <v>91884000</v>
          </cell>
          <cell r="U51">
            <v>95087000</v>
          </cell>
          <cell r="V51">
            <v>122015000</v>
          </cell>
          <cell r="W51">
            <v>215816700</v>
          </cell>
          <cell r="X51">
            <v>60980400</v>
          </cell>
          <cell r="Y51">
            <v>114610400</v>
          </cell>
          <cell r="Z51">
            <v>201787700</v>
          </cell>
          <cell r="AA51">
            <v>305303400</v>
          </cell>
          <cell r="AB51">
            <v>298712200</v>
          </cell>
          <cell r="AC51">
            <v>216386900</v>
          </cell>
          <cell r="AD51">
            <v>117517800</v>
          </cell>
          <cell r="AE51">
            <v>196707500</v>
          </cell>
          <cell r="AF51">
            <v>172321200</v>
          </cell>
          <cell r="AG51">
            <v>177123200</v>
          </cell>
          <cell r="AH51">
            <v>213774200</v>
          </cell>
          <cell r="AJ51">
            <v>185927700</v>
          </cell>
        </row>
        <row r="53">
          <cell r="J53">
            <v>20464919.199999999</v>
          </cell>
          <cell r="K53">
            <v>17365725.25</v>
          </cell>
          <cell r="L53">
            <v>21638095</v>
          </cell>
          <cell r="M53">
            <v>24070398.18</v>
          </cell>
          <cell r="N53">
            <v>27076220.32</v>
          </cell>
          <cell r="O53">
            <v>32710652.719999999</v>
          </cell>
          <cell r="P53">
            <v>16235936.130000001</v>
          </cell>
          <cell r="Q53">
            <v>12499764.76</v>
          </cell>
          <cell r="R53">
            <v>11846860.26</v>
          </cell>
          <cell r="S53">
            <v>16936580.149999999</v>
          </cell>
          <cell r="T53">
            <v>18296121.940000001</v>
          </cell>
          <cell r="U53">
            <v>18766331.129999999</v>
          </cell>
          <cell r="V53">
            <v>13809638.060000001</v>
          </cell>
          <cell r="W53">
            <v>10828554.73</v>
          </cell>
          <cell r="X53">
            <v>12787200.060000001</v>
          </cell>
          <cell r="Y53">
            <v>14573396.93</v>
          </cell>
          <cell r="Z53">
            <v>16416466.359999999</v>
          </cell>
          <cell r="AA53">
            <v>18968768.629999999</v>
          </cell>
          <cell r="AB53">
            <v>13553577.619999999</v>
          </cell>
          <cell r="AC53">
            <v>10145911.52</v>
          </cell>
          <cell r="AD53">
            <v>10416325.800000001</v>
          </cell>
          <cell r="AE53">
            <v>13671137.43</v>
          </cell>
          <cell r="AF53">
            <v>16103841.15</v>
          </cell>
          <cell r="AG53">
            <v>15363798</v>
          </cell>
          <cell r="AH53">
            <v>12201239.01</v>
          </cell>
          <cell r="AJ53">
            <v>17365725.25</v>
          </cell>
        </row>
        <row r="54"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8597090.8499999996</v>
          </cell>
          <cell r="Q54">
            <v>6347891.0099999998</v>
          </cell>
          <cell r="R54">
            <v>5254660.68</v>
          </cell>
          <cell r="S54">
            <v>7040740.7300000004</v>
          </cell>
          <cell r="T54">
            <v>7614788.9100000001</v>
          </cell>
          <cell r="U54">
            <v>7897212.2199999997</v>
          </cell>
          <cell r="V54">
            <v>6062836.1699999999</v>
          </cell>
          <cell r="W54">
            <v>4954184.3</v>
          </cell>
          <cell r="X54">
            <v>6589052.0300000003</v>
          </cell>
          <cell r="Y54">
            <v>7916898.7599999998</v>
          </cell>
          <cell r="Z54">
            <v>9019161.6899999995</v>
          </cell>
          <cell r="AA54">
            <v>10584124.810000001</v>
          </cell>
          <cell r="AB54">
            <v>7062666.4699999997</v>
          </cell>
          <cell r="AC54">
            <v>5167909.67</v>
          </cell>
          <cell r="AD54">
            <v>4739439.1900000004</v>
          </cell>
          <cell r="AE54">
            <v>5712556.54</v>
          </cell>
          <cell r="AF54">
            <v>6666988.6299999999</v>
          </cell>
          <cell r="AG54">
            <v>6438229.75</v>
          </cell>
          <cell r="AH54">
            <v>5306957.99</v>
          </cell>
          <cell r="AJ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2476991.7999999998</v>
          </cell>
          <cell r="Q55">
            <v>2166741.9500000002</v>
          </cell>
          <cell r="R55">
            <v>2213519.6800000002</v>
          </cell>
          <cell r="S55">
            <v>2554650.6800000002</v>
          </cell>
          <cell r="T55">
            <v>2508296.89</v>
          </cell>
          <cell r="U55">
            <v>2520785.88</v>
          </cell>
          <cell r="V55">
            <v>2144159.11</v>
          </cell>
          <cell r="W55">
            <v>1878857.98</v>
          </cell>
          <cell r="X55">
            <v>2081555.91</v>
          </cell>
          <cell r="Y55">
            <v>2205114.86</v>
          </cell>
          <cell r="Z55">
            <v>2356621.9900000002</v>
          </cell>
          <cell r="AA55">
            <v>2566479.7999999998</v>
          </cell>
          <cell r="AB55">
            <v>2053377.71</v>
          </cell>
          <cell r="AC55">
            <v>1846341.8</v>
          </cell>
          <cell r="AD55">
            <v>1863665.61</v>
          </cell>
          <cell r="AE55">
            <v>2122990.71</v>
          </cell>
          <cell r="AF55">
            <v>2180389.6</v>
          </cell>
          <cell r="AG55">
            <v>2124817.77</v>
          </cell>
          <cell r="AH55">
            <v>1914698.84</v>
          </cell>
          <cell r="AJ55">
            <v>0</v>
          </cell>
        </row>
        <row r="56">
          <cell r="J56">
            <v>16762352.449999999</v>
          </cell>
          <cell r="K56">
            <v>15308596.16</v>
          </cell>
          <cell r="L56">
            <v>15214367.99</v>
          </cell>
          <cell r="M56">
            <v>15689268.09</v>
          </cell>
          <cell r="N56">
            <v>16449577.039999999</v>
          </cell>
          <cell r="O56">
            <v>17457219.140000001</v>
          </cell>
          <cell r="P56">
            <v>13614619.1</v>
          </cell>
          <cell r="Q56">
            <v>12426107.529999999</v>
          </cell>
          <cell r="R56">
            <v>13444904.050000001</v>
          </cell>
          <cell r="S56">
            <v>15716397.289999999</v>
          </cell>
          <cell r="T56">
            <v>15467415.310000001</v>
          </cell>
          <cell r="U56">
            <v>15925212.710000001</v>
          </cell>
          <cell r="V56">
            <v>13397413.109999999</v>
          </cell>
          <cell r="W56">
            <v>11725292.460000001</v>
          </cell>
          <cell r="X56">
            <v>11796703.73</v>
          </cell>
          <cell r="Y56">
            <v>11884037</v>
          </cell>
          <cell r="Z56">
            <v>12421394.130000001</v>
          </cell>
          <cell r="AA56">
            <v>13020573.310000001</v>
          </cell>
          <cell r="AB56">
            <v>11786006.59</v>
          </cell>
          <cell r="AC56">
            <v>10807855.85</v>
          </cell>
          <cell r="AD56">
            <v>11334372.619999999</v>
          </cell>
          <cell r="AE56">
            <v>13056567.27</v>
          </cell>
          <cell r="AF56">
            <v>13629194.84</v>
          </cell>
          <cell r="AG56">
            <v>13486996.960000001</v>
          </cell>
          <cell r="AH56">
            <v>12382154.48</v>
          </cell>
          <cell r="AJ56">
            <v>15308596.16</v>
          </cell>
        </row>
        <row r="57">
          <cell r="J57">
            <v>15161827.52</v>
          </cell>
          <cell r="K57">
            <v>14922702.85</v>
          </cell>
          <cell r="L57">
            <v>14434318.5</v>
          </cell>
          <cell r="M57">
            <v>14553985.210000001</v>
          </cell>
          <cell r="N57">
            <v>14585415.550000001</v>
          </cell>
          <cell r="O57">
            <v>14544691.43</v>
          </cell>
          <cell r="P57">
            <v>16228258.310000001</v>
          </cell>
          <cell r="Q57">
            <v>16109820.720000001</v>
          </cell>
          <cell r="R57">
            <v>16144608.42</v>
          </cell>
          <cell r="S57">
            <v>17514338.16</v>
          </cell>
          <cell r="T57">
            <v>16210790.74</v>
          </cell>
          <cell r="U57">
            <v>16516014.5</v>
          </cell>
          <cell r="V57">
            <v>15490355.6</v>
          </cell>
          <cell r="W57">
            <v>14860339.189999999</v>
          </cell>
          <cell r="X57">
            <v>14756612.470000001</v>
          </cell>
          <cell r="Y57">
            <v>14289022.6</v>
          </cell>
          <cell r="Z57">
            <v>14254704.07</v>
          </cell>
          <cell r="AA57">
            <v>14021779.699999999</v>
          </cell>
          <cell r="AB57">
            <v>13209185.85</v>
          </cell>
          <cell r="AC57">
            <v>13295197.77</v>
          </cell>
          <cell r="AD57">
            <v>13580499.279999999</v>
          </cell>
          <cell r="AE57">
            <v>14148245.59</v>
          </cell>
          <cell r="AF57">
            <v>13826937.779999999</v>
          </cell>
          <cell r="AG57">
            <v>13904196.369999999</v>
          </cell>
          <cell r="AH57">
            <v>14025518.91</v>
          </cell>
          <cell r="AJ57">
            <v>14922702.85</v>
          </cell>
        </row>
        <row r="58">
          <cell r="J58">
            <v>1693967.76</v>
          </cell>
          <cell r="K58">
            <v>1694971.61</v>
          </cell>
          <cell r="L58">
            <v>1786429.53</v>
          </cell>
          <cell r="M58">
            <v>1856084.55</v>
          </cell>
          <cell r="N58">
            <v>1865461.74</v>
          </cell>
          <cell r="O58">
            <v>1902369.67</v>
          </cell>
          <cell r="P58">
            <v>1855681.63</v>
          </cell>
          <cell r="Q58">
            <v>1820696.73</v>
          </cell>
          <cell r="R58">
            <v>1627570.74</v>
          </cell>
          <cell r="S58">
            <v>1782834.14</v>
          </cell>
          <cell r="T58">
            <v>1673394.55</v>
          </cell>
          <cell r="U58">
            <v>1561829.26</v>
          </cell>
          <cell r="V58">
            <v>1650612.2</v>
          </cell>
          <cell r="W58">
            <v>1567085.68</v>
          </cell>
          <cell r="X58">
            <v>1719595.97</v>
          </cell>
          <cell r="Y58">
            <v>1800306.29</v>
          </cell>
          <cell r="Z58">
            <v>1768195.58</v>
          </cell>
          <cell r="AA58">
            <v>1861713.47</v>
          </cell>
          <cell r="AB58">
            <v>1533159.98</v>
          </cell>
          <cell r="AC58">
            <v>1507831.41</v>
          </cell>
          <cell r="AD58">
            <v>1372766.57</v>
          </cell>
          <cell r="AE58">
            <v>1433965.68</v>
          </cell>
          <cell r="AF58">
            <v>1411530.95</v>
          </cell>
          <cell r="AG58">
            <v>1266717.24</v>
          </cell>
          <cell r="AH58">
            <v>1431675.53</v>
          </cell>
          <cell r="AJ58">
            <v>1694971.61</v>
          </cell>
        </row>
        <row r="59">
          <cell r="J59">
            <v>751629.42</v>
          </cell>
          <cell r="K59">
            <v>668689.89</v>
          </cell>
          <cell r="L59">
            <v>706333.88</v>
          </cell>
          <cell r="M59">
            <v>663018.16</v>
          </cell>
          <cell r="N59">
            <v>747210.15</v>
          </cell>
          <cell r="O59">
            <v>653749.61</v>
          </cell>
          <cell r="P59">
            <v>691547.69</v>
          </cell>
          <cell r="Q59">
            <v>673616.93</v>
          </cell>
          <cell r="R59">
            <v>660472.22</v>
          </cell>
          <cell r="S59">
            <v>672743.96</v>
          </cell>
          <cell r="T59">
            <v>635168.93999999994</v>
          </cell>
          <cell r="U59">
            <v>667839.61</v>
          </cell>
          <cell r="V59">
            <v>620474.04</v>
          </cell>
          <cell r="W59">
            <v>583373.68999999994</v>
          </cell>
          <cell r="X59">
            <v>607165.69999999995</v>
          </cell>
          <cell r="Y59">
            <v>616013.56999999995</v>
          </cell>
          <cell r="Z59">
            <v>626361.01</v>
          </cell>
          <cell r="AA59">
            <v>580256.96</v>
          </cell>
          <cell r="AB59">
            <v>627346.43000000005</v>
          </cell>
          <cell r="AC59">
            <v>596677.65</v>
          </cell>
          <cell r="AD59">
            <v>580907.37</v>
          </cell>
          <cell r="AE59">
            <v>573110.53</v>
          </cell>
          <cell r="AF59">
            <v>566088.62</v>
          </cell>
          <cell r="AG59">
            <v>583640.26</v>
          </cell>
          <cell r="AH59">
            <v>600714.97</v>
          </cell>
          <cell r="AJ59">
            <v>668689.89</v>
          </cell>
        </row>
        <row r="60">
          <cell r="J60">
            <v>4685455.45</v>
          </cell>
          <cell r="K60">
            <v>4466926.6100000003</v>
          </cell>
          <cell r="L60">
            <v>4325219.03</v>
          </cell>
          <cell r="M60">
            <v>4366182.5999999996</v>
          </cell>
          <cell r="N60">
            <v>4650938.8099999996</v>
          </cell>
          <cell r="O60">
            <v>4786841.51</v>
          </cell>
          <cell r="P60">
            <v>4597787.37</v>
          </cell>
          <cell r="Q60">
            <v>4282967.76</v>
          </cell>
          <cell r="R60">
            <v>4778669.6500000004</v>
          </cell>
          <cell r="S60">
            <v>5719904.1600000001</v>
          </cell>
          <cell r="T60">
            <v>5225322.4000000004</v>
          </cell>
          <cell r="U60">
            <v>5235649.3099999996</v>
          </cell>
          <cell r="V60">
            <v>4613826.22</v>
          </cell>
          <cell r="W60">
            <v>4102861.17</v>
          </cell>
          <cell r="X60">
            <v>4118479.74</v>
          </cell>
          <cell r="Y60">
            <v>4172804.5</v>
          </cell>
          <cell r="Z60">
            <v>4276183.84</v>
          </cell>
          <cell r="AA60">
            <v>4292654.4400000004</v>
          </cell>
          <cell r="AB60">
            <v>4022551.11</v>
          </cell>
          <cell r="AC60">
            <v>3700028.35</v>
          </cell>
          <cell r="AD60">
            <v>4051528.83</v>
          </cell>
          <cell r="AE60">
            <v>4777248.38</v>
          </cell>
          <cell r="AF60">
            <v>4570608.97</v>
          </cell>
          <cell r="AG60">
            <v>4429735.13</v>
          </cell>
          <cell r="AH60">
            <v>4127322.49</v>
          </cell>
          <cell r="AJ60">
            <v>4466926.6100000003</v>
          </cell>
        </row>
        <row r="61">
          <cell r="J61">
            <v>280843.3</v>
          </cell>
          <cell r="K61">
            <v>260537.57</v>
          </cell>
          <cell r="L61">
            <v>268048.82</v>
          </cell>
          <cell r="M61">
            <v>271382.88</v>
          </cell>
          <cell r="N61">
            <v>281237.34000000003</v>
          </cell>
          <cell r="O61">
            <v>295130.93</v>
          </cell>
          <cell r="P61">
            <v>299406.58</v>
          </cell>
          <cell r="Q61">
            <v>274408.63</v>
          </cell>
          <cell r="R61">
            <v>283715.43</v>
          </cell>
          <cell r="S61">
            <v>307668.02</v>
          </cell>
          <cell r="T61">
            <v>290728.40999999997</v>
          </cell>
          <cell r="U61">
            <v>314170.81</v>
          </cell>
          <cell r="V61">
            <v>273920.21999999997</v>
          </cell>
          <cell r="W61">
            <v>253748.14</v>
          </cell>
          <cell r="X61">
            <v>267532.03000000003</v>
          </cell>
          <cell r="Y61">
            <v>271881.59999999998</v>
          </cell>
          <cell r="Z61">
            <v>288356.02</v>
          </cell>
          <cell r="AA61">
            <v>303803</v>
          </cell>
          <cell r="AB61">
            <v>267527.69</v>
          </cell>
          <cell r="AC61">
            <v>245378.04</v>
          </cell>
          <cell r="AD61">
            <v>248836.89</v>
          </cell>
          <cell r="AE61">
            <v>263279.74</v>
          </cell>
          <cell r="AF61">
            <v>256900.92</v>
          </cell>
          <cell r="AG61">
            <v>282578.56</v>
          </cell>
          <cell r="AH61">
            <v>254485.68</v>
          </cell>
          <cell r="AJ61">
            <v>260537.57</v>
          </cell>
        </row>
        <row r="62">
          <cell r="J62">
            <v>7009536.4699999997</v>
          </cell>
          <cell r="K62">
            <v>6130903.1500000004</v>
          </cell>
          <cell r="L62">
            <v>5260523.2699999996</v>
          </cell>
          <cell r="M62">
            <v>5591777.0199999996</v>
          </cell>
          <cell r="N62">
            <v>5771234.29</v>
          </cell>
          <cell r="O62">
            <v>6273601.9800000004</v>
          </cell>
          <cell r="P62">
            <v>6141583.8099999996</v>
          </cell>
          <cell r="Q62">
            <v>5401431.7699999996</v>
          </cell>
          <cell r="R62">
            <v>6170107.5</v>
          </cell>
          <cell r="S62">
            <v>6554580.3300000001</v>
          </cell>
          <cell r="T62">
            <v>7878621.0300000003</v>
          </cell>
          <cell r="U62">
            <v>7964315.5999999996</v>
          </cell>
          <cell r="V62">
            <v>7156484.46</v>
          </cell>
          <cell r="W62">
            <v>6317860.3700000001</v>
          </cell>
          <cell r="X62">
            <v>5385005.6399999997</v>
          </cell>
          <cell r="Y62">
            <v>5794570.3300000001</v>
          </cell>
          <cell r="Z62">
            <v>5564802.5</v>
          </cell>
          <cell r="AA62">
            <v>6281490.3799999999</v>
          </cell>
          <cell r="AB62">
            <v>5963543.9100000001</v>
          </cell>
          <cell r="AC62">
            <v>5302029.71</v>
          </cell>
          <cell r="AD62">
            <v>5915411.8200000003</v>
          </cell>
          <cell r="AE62">
            <v>6184591.4500000002</v>
          </cell>
          <cell r="AF62">
            <v>7528415.1699999999</v>
          </cell>
          <cell r="AG62">
            <v>7618307.0599999996</v>
          </cell>
          <cell r="AH62">
            <v>6848105.7300000004</v>
          </cell>
          <cell r="AJ62">
            <v>6130903.1500000004</v>
          </cell>
        </row>
        <row r="63">
          <cell r="J63">
            <v>1661976.46</v>
          </cell>
          <cell r="K63">
            <v>1082037.52</v>
          </cell>
          <cell r="L63">
            <v>867376.37</v>
          </cell>
          <cell r="M63">
            <v>3886078.71</v>
          </cell>
          <cell r="N63">
            <v>1137548.54</v>
          </cell>
          <cell r="O63">
            <v>3190285.6</v>
          </cell>
          <cell r="P63">
            <v>1207531.8700000001</v>
          </cell>
          <cell r="Q63">
            <v>854895.19</v>
          </cell>
          <cell r="R63">
            <v>2845605.73</v>
          </cell>
          <cell r="S63">
            <v>3172485.57</v>
          </cell>
          <cell r="T63">
            <v>2859405.5</v>
          </cell>
          <cell r="U63">
            <v>2459611.37</v>
          </cell>
          <cell r="V63">
            <v>2900618.45</v>
          </cell>
          <cell r="W63">
            <v>2426461.02</v>
          </cell>
          <cell r="X63">
            <v>195473.68</v>
          </cell>
          <cell r="Y63">
            <v>404761.65</v>
          </cell>
          <cell r="Z63">
            <v>332229.84999999998</v>
          </cell>
          <cell r="AA63">
            <v>1414278.93</v>
          </cell>
          <cell r="AB63">
            <v>6571678.71</v>
          </cell>
          <cell r="AC63">
            <v>5666536.9000000004</v>
          </cell>
          <cell r="AD63">
            <v>4186291</v>
          </cell>
          <cell r="AE63">
            <v>4915142.8499999996</v>
          </cell>
          <cell r="AF63">
            <v>4740956.63</v>
          </cell>
          <cell r="AG63">
            <v>5335694.2300000004</v>
          </cell>
          <cell r="AH63">
            <v>7478989.1500000004</v>
          </cell>
          <cell r="AJ63">
            <v>1082037.52</v>
          </cell>
        </row>
        <row r="64">
          <cell r="J64">
            <v>3277772.5</v>
          </cell>
          <cell r="K64">
            <v>3347838.7</v>
          </cell>
          <cell r="L64">
            <v>4597812.2</v>
          </cell>
          <cell r="M64">
            <v>6689749.7999999998</v>
          </cell>
          <cell r="N64">
            <v>6429160.2000000002</v>
          </cell>
          <cell r="O64">
            <v>7353810.5999999996</v>
          </cell>
          <cell r="P64">
            <v>4787488.5999999996</v>
          </cell>
          <cell r="Q64">
            <v>3523788.3</v>
          </cell>
          <cell r="R64">
            <v>3657755.8</v>
          </cell>
          <cell r="S64">
            <v>2485773.9</v>
          </cell>
          <cell r="T64">
            <v>1531847.5</v>
          </cell>
          <cell r="U64">
            <v>1760673.4</v>
          </cell>
          <cell r="V64">
            <v>1957478.7</v>
          </cell>
          <cell r="W64">
            <v>3320781.5</v>
          </cell>
          <cell r="X64">
            <v>987715.1</v>
          </cell>
          <cell r="Y64">
            <v>1851247</v>
          </cell>
          <cell r="Z64">
            <v>3216087.5</v>
          </cell>
          <cell r="AA64">
            <v>4784593</v>
          </cell>
          <cell r="AB64">
            <v>4288304.3</v>
          </cell>
          <cell r="AC64">
            <v>3092725.7</v>
          </cell>
          <cell r="AD64">
            <v>1908267.8</v>
          </cell>
          <cell r="AE64">
            <v>3157592.5</v>
          </cell>
          <cell r="AF64">
            <v>2629318.9</v>
          </cell>
          <cell r="AG64">
            <v>2995602.7</v>
          </cell>
          <cell r="AH64">
            <v>3570020.5</v>
          </cell>
          <cell r="AJ64">
            <v>3347838.7</v>
          </cell>
        </row>
        <row r="66"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</row>
        <row r="67"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</row>
        <row r="71"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</row>
        <row r="79">
          <cell r="J79">
            <v>2038016.22</v>
          </cell>
          <cell r="K79">
            <v>1457718.13</v>
          </cell>
          <cell r="L79">
            <v>1532977.32</v>
          </cell>
          <cell r="M79">
            <v>1395034.45</v>
          </cell>
          <cell r="N79">
            <v>1963765.7</v>
          </cell>
          <cell r="O79">
            <v>1750524.52</v>
          </cell>
          <cell r="P79">
            <v>-55377.16</v>
          </cell>
          <cell r="Q79">
            <v>150705.15</v>
          </cell>
          <cell r="R79">
            <v>621426.39</v>
          </cell>
          <cell r="S79">
            <v>906991.31</v>
          </cell>
          <cell r="T79">
            <v>485722.9</v>
          </cell>
          <cell r="U79">
            <v>308628.58</v>
          </cell>
          <cell r="V79">
            <v>110973.43</v>
          </cell>
          <cell r="W79">
            <v>451078.13</v>
          </cell>
          <cell r="X79">
            <v>334413.96999999997</v>
          </cell>
          <cell r="Y79">
            <v>407432.37</v>
          </cell>
          <cell r="Z79">
            <v>158018</v>
          </cell>
          <cell r="AA79">
            <v>113228.15</v>
          </cell>
          <cell r="AB79">
            <v>878195.15</v>
          </cell>
          <cell r="AC79">
            <v>645976.43000000005</v>
          </cell>
          <cell r="AD79">
            <v>775434.05</v>
          </cell>
          <cell r="AE79">
            <v>1132802.31</v>
          </cell>
          <cell r="AF79">
            <v>1138550.1200000001</v>
          </cell>
          <cell r="AG79">
            <v>1021805.42</v>
          </cell>
          <cell r="AH79">
            <v>854694.3</v>
          </cell>
          <cell r="AJ79">
            <v>1457718.13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-30565.14</v>
          </cell>
          <cell r="Q80">
            <v>79612.47</v>
          </cell>
          <cell r="R80">
            <v>280157.82</v>
          </cell>
          <cell r="S80">
            <v>378948.01</v>
          </cell>
          <cell r="T80">
            <v>202838.5</v>
          </cell>
          <cell r="U80">
            <v>130464.48</v>
          </cell>
          <cell r="V80">
            <v>49125.58</v>
          </cell>
          <cell r="W80">
            <v>209963.77</v>
          </cell>
          <cell r="X80">
            <v>178986.04</v>
          </cell>
          <cell r="Y80">
            <v>231120.91</v>
          </cell>
          <cell r="Z80">
            <v>90566</v>
          </cell>
          <cell r="AA80">
            <v>65709.33</v>
          </cell>
          <cell r="AB80">
            <v>476369.32</v>
          </cell>
          <cell r="AC80">
            <v>341700.06</v>
          </cell>
          <cell r="AD80">
            <v>361063.3</v>
          </cell>
          <cell r="AE80">
            <v>479045.4</v>
          </cell>
          <cell r="AF80">
            <v>476802.45</v>
          </cell>
          <cell r="AG80">
            <v>433067.47</v>
          </cell>
          <cell r="AH80">
            <v>377179.07</v>
          </cell>
          <cell r="AJ80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-7721.66</v>
          </cell>
          <cell r="Q81">
            <v>24482.68</v>
          </cell>
          <cell r="R81">
            <v>110385.98</v>
          </cell>
          <cell r="S81">
            <v>128487.47</v>
          </cell>
          <cell r="T81">
            <v>62149.34</v>
          </cell>
          <cell r="U81">
            <v>38518.69</v>
          </cell>
          <cell r="V81">
            <v>16478.25</v>
          </cell>
          <cell r="W81">
            <v>74411.41</v>
          </cell>
          <cell r="X81">
            <v>50604.94</v>
          </cell>
          <cell r="Y81">
            <v>56160.49</v>
          </cell>
          <cell r="Z81">
            <v>20596</v>
          </cell>
          <cell r="AA81">
            <v>13965.41</v>
          </cell>
          <cell r="AB81">
            <v>122342.41</v>
          </cell>
          <cell r="AC81">
            <v>110461.11</v>
          </cell>
          <cell r="AD81">
            <v>131784.53</v>
          </cell>
          <cell r="AE81">
            <v>165663.6</v>
          </cell>
          <cell r="AF81">
            <v>144095.85999999999</v>
          </cell>
          <cell r="AG81">
            <v>131382.98000000001</v>
          </cell>
          <cell r="AH81">
            <v>126576.08</v>
          </cell>
          <cell r="AJ81">
            <v>0</v>
          </cell>
        </row>
        <row r="82">
          <cell r="J82">
            <v>1810406.28</v>
          </cell>
          <cell r="K82">
            <v>1355580.03</v>
          </cell>
          <cell r="L82">
            <v>1090370.77</v>
          </cell>
          <cell r="M82">
            <v>914448.83</v>
          </cell>
          <cell r="N82">
            <v>1197489.48</v>
          </cell>
          <cell r="O82">
            <v>957606.79</v>
          </cell>
          <cell r="P82">
            <v>-48018.57</v>
          </cell>
          <cell r="Q82">
            <v>161493.21</v>
          </cell>
          <cell r="R82">
            <v>772008.13</v>
          </cell>
          <cell r="S82">
            <v>908141.05</v>
          </cell>
          <cell r="T82">
            <v>439362.98</v>
          </cell>
          <cell r="U82">
            <v>282531.94</v>
          </cell>
          <cell r="V82">
            <v>118306.61</v>
          </cell>
          <cell r="W82">
            <v>536917.25</v>
          </cell>
          <cell r="X82">
            <v>326776.87</v>
          </cell>
          <cell r="Y82">
            <v>341899.88</v>
          </cell>
          <cell r="Z82">
            <v>121983.65</v>
          </cell>
          <cell r="AA82">
            <v>80342.100000000006</v>
          </cell>
          <cell r="AB82">
            <v>798942.55</v>
          </cell>
          <cell r="AC82">
            <v>746524.15</v>
          </cell>
          <cell r="AD82">
            <v>927480.54</v>
          </cell>
          <cell r="AE82">
            <v>1173141.23</v>
          </cell>
          <cell r="AF82">
            <v>1032974.9</v>
          </cell>
          <cell r="AG82">
            <v>968724.55</v>
          </cell>
          <cell r="AH82">
            <v>941747.11</v>
          </cell>
          <cell r="AJ82">
            <v>1355580.03</v>
          </cell>
        </row>
        <row r="83">
          <cell r="J83">
            <v>2225246.9500000002</v>
          </cell>
          <cell r="K83">
            <v>1857422</v>
          </cell>
          <cell r="L83">
            <v>1453504.71</v>
          </cell>
          <cell r="M83">
            <v>1190622.04</v>
          </cell>
          <cell r="N83">
            <v>1479288.37</v>
          </cell>
          <cell r="O83">
            <v>1070602.4099999999</v>
          </cell>
          <cell r="P83">
            <v>-75003.350000000006</v>
          </cell>
          <cell r="Q83">
            <v>276096.56</v>
          </cell>
          <cell r="R83">
            <v>1209611.7</v>
          </cell>
          <cell r="S83">
            <v>1299046.3</v>
          </cell>
          <cell r="T83">
            <v>591756.25</v>
          </cell>
          <cell r="U83">
            <v>369336.11</v>
          </cell>
          <cell r="V83">
            <v>175274.27</v>
          </cell>
          <cell r="W83">
            <v>881874.8</v>
          </cell>
          <cell r="X83">
            <v>536060.46</v>
          </cell>
          <cell r="Y83">
            <v>535405.09</v>
          </cell>
          <cell r="Z83">
            <v>183165.53</v>
          </cell>
          <cell r="AA83">
            <v>109189.41</v>
          </cell>
          <cell r="AB83">
            <v>1177739.0900000001</v>
          </cell>
          <cell r="AC83">
            <v>1217399.53</v>
          </cell>
          <cell r="AD83">
            <v>1465594.14</v>
          </cell>
          <cell r="AE83">
            <v>1641179.79</v>
          </cell>
          <cell r="AF83">
            <v>1368364.45</v>
          </cell>
          <cell r="AG83">
            <v>1262853.1299999999</v>
          </cell>
          <cell r="AH83">
            <v>1375046.26</v>
          </cell>
          <cell r="AJ83">
            <v>1857422</v>
          </cell>
        </row>
        <row r="84">
          <cell r="J84">
            <v>201413.47</v>
          </cell>
          <cell r="K84">
            <v>170387.3</v>
          </cell>
          <cell r="L84">
            <v>151165.63</v>
          </cell>
          <cell r="M84">
            <v>132352.66</v>
          </cell>
          <cell r="N84">
            <v>160164.68</v>
          </cell>
          <cell r="O84">
            <v>122353.78</v>
          </cell>
          <cell r="P84">
            <v>-7636.66</v>
          </cell>
          <cell r="Q84">
            <v>27857.63</v>
          </cell>
          <cell r="R84">
            <v>110475.03</v>
          </cell>
          <cell r="S84">
            <v>113270.96</v>
          </cell>
          <cell r="T84">
            <v>53234.21</v>
          </cell>
          <cell r="U84">
            <v>30033.54</v>
          </cell>
          <cell r="V84">
            <v>16227.32</v>
          </cell>
          <cell r="W84">
            <v>79561.55</v>
          </cell>
          <cell r="X84">
            <v>55890.26</v>
          </cell>
          <cell r="Y84">
            <v>61691.03</v>
          </cell>
          <cell r="Z84">
            <v>20735.689999999999</v>
          </cell>
          <cell r="AA84">
            <v>13250.75</v>
          </cell>
          <cell r="AB84">
            <v>121070.06</v>
          </cell>
          <cell r="AC84">
            <v>122035.32</v>
          </cell>
          <cell r="AD84">
            <v>132532.42000000001</v>
          </cell>
          <cell r="AE84">
            <v>143709.93</v>
          </cell>
          <cell r="AF84">
            <v>120979.27</v>
          </cell>
          <cell r="AG84">
            <v>99598.25</v>
          </cell>
          <cell r="AH84">
            <v>125465.55</v>
          </cell>
          <cell r="AJ84">
            <v>170387.3</v>
          </cell>
        </row>
        <row r="85">
          <cell r="J85">
            <v>20723.46</v>
          </cell>
          <cell r="K85">
            <v>17509.88</v>
          </cell>
          <cell r="L85">
            <v>15738.62</v>
          </cell>
          <cell r="M85">
            <v>14245.83</v>
          </cell>
          <cell r="N85">
            <v>17612.22</v>
          </cell>
          <cell r="O85">
            <v>14780.7</v>
          </cell>
          <cell r="P85">
            <v>-996.99</v>
          </cell>
          <cell r="Q85">
            <v>3386.87</v>
          </cell>
          <cell r="R85">
            <v>13921.54</v>
          </cell>
          <cell r="S85">
            <v>12637.86</v>
          </cell>
          <cell r="T85">
            <v>5553.87</v>
          </cell>
          <cell r="U85">
            <v>3408.08</v>
          </cell>
          <cell r="V85">
            <v>1530.55</v>
          </cell>
          <cell r="W85">
            <v>7960.24</v>
          </cell>
          <cell r="X85">
            <v>5475.13</v>
          </cell>
          <cell r="Y85">
            <v>6390.98</v>
          </cell>
          <cell r="Z85">
            <v>2174.67</v>
          </cell>
          <cell r="AA85">
            <v>1451.97</v>
          </cell>
          <cell r="AB85">
            <v>17489.990000000002</v>
          </cell>
          <cell r="AC85">
            <v>15987.61</v>
          </cell>
          <cell r="AD85">
            <v>17543.86</v>
          </cell>
          <cell r="AE85">
            <v>16751.52</v>
          </cell>
          <cell r="AF85">
            <v>13298.58</v>
          </cell>
          <cell r="AG85">
            <v>12082</v>
          </cell>
          <cell r="AH85">
            <v>12629.03</v>
          </cell>
          <cell r="AJ85">
            <v>17509.88</v>
          </cell>
        </row>
        <row r="86">
          <cell r="J86">
            <v>610099.36</v>
          </cell>
          <cell r="K86">
            <v>473812.88</v>
          </cell>
          <cell r="L86">
            <v>371717.22</v>
          </cell>
          <cell r="M86">
            <v>305265.21000000002</v>
          </cell>
          <cell r="N86">
            <v>402432.56</v>
          </cell>
          <cell r="O86">
            <v>304425.09000000003</v>
          </cell>
          <cell r="P86">
            <v>-18417.72</v>
          </cell>
          <cell r="Q86">
            <v>62280.480000000003</v>
          </cell>
          <cell r="R86">
            <v>305538.26</v>
          </cell>
          <cell r="S86">
            <v>374931.36</v>
          </cell>
          <cell r="T86">
            <v>166312.68</v>
          </cell>
          <cell r="U86">
            <v>106184.02</v>
          </cell>
          <cell r="V86">
            <v>45498.77</v>
          </cell>
          <cell r="W86">
            <v>210191.85</v>
          </cell>
          <cell r="X86">
            <v>128050.88</v>
          </cell>
          <cell r="Y86">
            <v>135865.39000000001</v>
          </cell>
          <cell r="Z86">
            <v>47813.42</v>
          </cell>
          <cell r="AA86">
            <v>29805.59</v>
          </cell>
          <cell r="AB86">
            <v>309707.77</v>
          </cell>
          <cell r="AC86">
            <v>285079.82</v>
          </cell>
          <cell r="AD86">
            <v>370832.96</v>
          </cell>
          <cell r="AE86">
            <v>486023.04</v>
          </cell>
          <cell r="AF86">
            <v>386718.5</v>
          </cell>
          <cell r="AG86">
            <v>363565.32</v>
          </cell>
          <cell r="AH86">
            <v>353376.85</v>
          </cell>
          <cell r="AJ86">
            <v>473812.88</v>
          </cell>
        </row>
        <row r="87">
          <cell r="J87">
            <v>35630.75</v>
          </cell>
          <cell r="K87">
            <v>27043.06</v>
          </cell>
          <cell r="L87">
            <v>23357.87</v>
          </cell>
          <cell r="M87">
            <v>19159.7</v>
          </cell>
          <cell r="N87">
            <v>25072.85</v>
          </cell>
          <cell r="O87">
            <v>19872.73</v>
          </cell>
          <cell r="P87">
            <v>-1156.99</v>
          </cell>
          <cell r="Q87">
            <v>3873.29</v>
          </cell>
          <cell r="R87">
            <v>17618.21</v>
          </cell>
          <cell r="S87">
            <v>19223.830000000002</v>
          </cell>
          <cell r="T87">
            <v>8948.2900000000009</v>
          </cell>
          <cell r="U87">
            <v>6036.81</v>
          </cell>
          <cell r="V87">
            <v>2620.63</v>
          </cell>
          <cell r="W87">
            <v>12517.23</v>
          </cell>
          <cell r="X87">
            <v>8150.34</v>
          </cell>
          <cell r="Y87">
            <v>8507.93</v>
          </cell>
          <cell r="Z87">
            <v>3070.59</v>
          </cell>
          <cell r="AA87">
            <v>2018.93</v>
          </cell>
          <cell r="AB87">
            <v>19904.57</v>
          </cell>
          <cell r="AC87">
            <v>18499.32</v>
          </cell>
          <cell r="AD87">
            <v>22191.599999999999</v>
          </cell>
          <cell r="AE87">
            <v>25694.16</v>
          </cell>
          <cell r="AF87">
            <v>21215.53</v>
          </cell>
          <cell r="AG87">
            <v>22063.07</v>
          </cell>
          <cell r="AH87">
            <v>21119</v>
          </cell>
          <cell r="AJ87">
            <v>27043.06</v>
          </cell>
        </row>
        <row r="88">
          <cell r="J88">
            <v>-104113.72</v>
          </cell>
          <cell r="K88">
            <v>-180354.49</v>
          </cell>
          <cell r="L88">
            <v>-214538.4</v>
          </cell>
          <cell r="M88">
            <v>-369259.33</v>
          </cell>
          <cell r="N88">
            <v>-213206.53</v>
          </cell>
          <cell r="O88">
            <v>-427441.14</v>
          </cell>
          <cell r="P88">
            <v>-853737.94</v>
          </cell>
          <cell r="Q88">
            <v>-665107.73</v>
          </cell>
          <cell r="R88">
            <v>-509636.08</v>
          </cell>
          <cell r="S88">
            <v>-537604.39</v>
          </cell>
          <cell r="T88">
            <v>-702508.15</v>
          </cell>
          <cell r="U88">
            <v>-777601.75</v>
          </cell>
          <cell r="V88">
            <v>-828039.1</v>
          </cell>
          <cell r="W88">
            <v>-553983.63</v>
          </cell>
          <cell r="X88">
            <v>-600880.79</v>
          </cell>
          <cell r="Y88">
            <v>-571657.80000000005</v>
          </cell>
          <cell r="Z88">
            <v>-663600.54</v>
          </cell>
          <cell r="AA88">
            <v>-653475.96</v>
          </cell>
          <cell r="AB88">
            <v>-801636.34</v>
          </cell>
          <cell r="AC88">
            <v>-696669.16</v>
          </cell>
          <cell r="AD88">
            <v>-694172.78</v>
          </cell>
          <cell r="AE88">
            <v>-755261.83</v>
          </cell>
          <cell r="AF88">
            <v>-831388.59</v>
          </cell>
          <cell r="AG88">
            <v>-792367.44</v>
          </cell>
          <cell r="AH88">
            <v>-805634.7</v>
          </cell>
          <cell r="AJ88">
            <v>-180354.49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J90">
            <v>0</v>
          </cell>
        </row>
        <row r="92">
          <cell r="J92">
            <v>336166.47</v>
          </cell>
          <cell r="K92">
            <v>336166.47</v>
          </cell>
          <cell r="L92">
            <v>336166.47</v>
          </cell>
          <cell r="M92">
            <v>336166.47</v>
          </cell>
          <cell r="N92">
            <v>336166.47</v>
          </cell>
          <cell r="O92">
            <v>336166.47</v>
          </cell>
          <cell r="P92">
            <v>197321.5</v>
          </cell>
          <cell r="Q92">
            <v>200378.73</v>
          </cell>
          <cell r="R92">
            <v>211073.69</v>
          </cell>
          <cell r="S92">
            <v>215989.85</v>
          </cell>
          <cell r="T92">
            <v>216021.32</v>
          </cell>
          <cell r="U92">
            <v>215243.61</v>
          </cell>
          <cell r="V92">
            <v>212266.3</v>
          </cell>
          <cell r="W92">
            <v>208964.97</v>
          </cell>
          <cell r="X92">
            <v>199470.76</v>
          </cell>
          <cell r="Y92">
            <v>195393.04</v>
          </cell>
          <cell r="Z92">
            <v>194663.3</v>
          </cell>
          <cell r="AA92">
            <v>193777.71</v>
          </cell>
          <cell r="AB92">
            <v>177742.52</v>
          </cell>
          <cell r="AC92">
            <v>179308.94</v>
          </cell>
          <cell r="AD92">
            <v>187058.06</v>
          </cell>
          <cell r="AE92">
            <v>192677.1</v>
          </cell>
          <cell r="AF92">
            <v>193234.56</v>
          </cell>
          <cell r="AG92">
            <v>192549.82</v>
          </cell>
          <cell r="AH92">
            <v>190214.98</v>
          </cell>
          <cell r="AJ92">
            <v>336166.47</v>
          </cell>
        </row>
        <row r="93"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108910.59</v>
          </cell>
          <cell r="Q93">
            <v>105853.36</v>
          </cell>
          <cell r="R93">
            <v>95158.41</v>
          </cell>
          <cell r="S93">
            <v>90242.240000000005</v>
          </cell>
          <cell r="T93">
            <v>90210.77</v>
          </cell>
          <cell r="U93">
            <v>90988.479999999996</v>
          </cell>
          <cell r="V93">
            <v>93965.79</v>
          </cell>
          <cell r="W93">
            <v>97267.12</v>
          </cell>
          <cell r="X93">
            <v>106761.33</v>
          </cell>
          <cell r="Y93">
            <v>110839.05</v>
          </cell>
          <cell r="Z93">
            <v>111568.79</v>
          </cell>
          <cell r="AA93">
            <v>112454.39</v>
          </cell>
          <cell r="AB93">
            <v>96414.88</v>
          </cell>
          <cell r="AC93">
            <v>94848.47</v>
          </cell>
          <cell r="AD93">
            <v>87099.35</v>
          </cell>
          <cell r="AE93">
            <v>81480.3</v>
          </cell>
          <cell r="AF93">
            <v>80922.84</v>
          </cell>
          <cell r="AG93">
            <v>81607.58</v>
          </cell>
          <cell r="AH93">
            <v>83942.42</v>
          </cell>
          <cell r="AJ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5140.8</v>
          </cell>
          <cell r="Q94">
            <v>4885.3</v>
          </cell>
          <cell r="R94">
            <v>4642.38</v>
          </cell>
          <cell r="S94">
            <v>4599.67</v>
          </cell>
          <cell r="T94">
            <v>4598.79</v>
          </cell>
          <cell r="U94">
            <v>4452.33</v>
          </cell>
          <cell r="V94">
            <v>4536.8999999999996</v>
          </cell>
          <cell r="W94">
            <v>4517.04</v>
          </cell>
          <cell r="X94">
            <v>4976.24</v>
          </cell>
          <cell r="Y94">
            <v>5235.6499999999996</v>
          </cell>
          <cell r="Z94">
            <v>5360.61</v>
          </cell>
          <cell r="AA94">
            <v>5495.36</v>
          </cell>
          <cell r="AB94">
            <v>4453.03</v>
          </cell>
          <cell r="AC94">
            <v>4322.2299999999996</v>
          </cell>
          <cell r="AD94">
            <v>4171.88</v>
          </cell>
          <cell r="AE94">
            <v>4149.37</v>
          </cell>
          <cell r="AF94">
            <v>4105.08</v>
          </cell>
          <cell r="AG94">
            <v>4004.76</v>
          </cell>
          <cell r="AH94">
            <v>3973.02</v>
          </cell>
          <cell r="AJ94">
            <v>0</v>
          </cell>
        </row>
        <row r="95">
          <cell r="J95">
            <v>40221.46</v>
          </cell>
          <cell r="K95">
            <v>40221.46</v>
          </cell>
          <cell r="L95">
            <v>40221.46</v>
          </cell>
          <cell r="M95">
            <v>40221.46</v>
          </cell>
          <cell r="N95">
            <v>40221.46</v>
          </cell>
          <cell r="O95">
            <v>40221.46</v>
          </cell>
          <cell r="P95">
            <v>31969.03</v>
          </cell>
          <cell r="Q95">
            <v>32224.53</v>
          </cell>
          <cell r="R95">
            <v>32467.45</v>
          </cell>
          <cell r="S95">
            <v>32510.16</v>
          </cell>
          <cell r="T95">
            <v>32511.040000000001</v>
          </cell>
          <cell r="U95">
            <v>32657.5</v>
          </cell>
          <cell r="V95">
            <v>32572.93</v>
          </cell>
          <cell r="W95">
            <v>32592.79</v>
          </cell>
          <cell r="X95">
            <v>32133.59</v>
          </cell>
          <cell r="Y95">
            <v>31874.18</v>
          </cell>
          <cell r="Z95">
            <v>31749.22</v>
          </cell>
          <cell r="AA95">
            <v>31614.46</v>
          </cell>
          <cell r="AB95">
            <v>29079.96</v>
          </cell>
          <cell r="AC95">
            <v>29210.75</v>
          </cell>
          <cell r="AD95">
            <v>29361.1</v>
          </cell>
          <cell r="AE95">
            <v>29383.62</v>
          </cell>
          <cell r="AF95">
            <v>29427.91</v>
          </cell>
          <cell r="AG95">
            <v>29528.23</v>
          </cell>
          <cell r="AH95">
            <v>29559.96</v>
          </cell>
          <cell r="AJ95">
            <v>40221.46</v>
          </cell>
        </row>
        <row r="96"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</row>
        <row r="100"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</row>
        <row r="101"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</row>
        <row r="103"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</row>
        <row r="113"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</row>
        <row r="118">
          <cell r="J118">
            <v>914201.74</v>
          </cell>
          <cell r="K118">
            <v>824658.61</v>
          </cell>
          <cell r="L118">
            <v>889694.85</v>
          </cell>
          <cell r="M118">
            <v>860985.63</v>
          </cell>
          <cell r="N118">
            <v>925975.92</v>
          </cell>
          <cell r="O118">
            <v>963129.57</v>
          </cell>
          <cell r="P118">
            <v>681305.08</v>
          </cell>
          <cell r="Q118">
            <v>560036.43000000005</v>
          </cell>
          <cell r="R118">
            <v>535417.67000000004</v>
          </cell>
          <cell r="S118">
            <v>625861.87</v>
          </cell>
          <cell r="T118">
            <v>662357</v>
          </cell>
          <cell r="U118">
            <v>658163.24</v>
          </cell>
          <cell r="V118">
            <v>581709.94999999995</v>
          </cell>
          <cell r="W118">
            <v>491011.44</v>
          </cell>
          <cell r="X118">
            <v>490191.48</v>
          </cell>
          <cell r="Y118">
            <v>496871.7</v>
          </cell>
          <cell r="Z118">
            <v>468317.99</v>
          </cell>
          <cell r="AA118">
            <v>484914.21</v>
          </cell>
          <cell r="AB118">
            <v>735583.13</v>
          </cell>
          <cell r="AC118">
            <v>631625.04</v>
          </cell>
          <cell r="AD118">
            <v>609599.32999999996</v>
          </cell>
          <cell r="AE118">
            <v>652817.88</v>
          </cell>
          <cell r="AF118">
            <v>684024.11</v>
          </cell>
          <cell r="AG118">
            <v>623247.56000000006</v>
          </cell>
          <cell r="AH118">
            <v>503351.31</v>
          </cell>
          <cell r="AJ118">
            <v>824658.61</v>
          </cell>
        </row>
        <row r="119"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353833.14</v>
          </cell>
          <cell r="Q119">
            <v>279607.55</v>
          </cell>
          <cell r="R119">
            <v>235848.78</v>
          </cell>
          <cell r="S119">
            <v>259595.8</v>
          </cell>
          <cell r="T119">
            <v>275254.96999999997</v>
          </cell>
          <cell r="U119">
            <v>276409.17</v>
          </cell>
          <cell r="V119">
            <v>254396.26</v>
          </cell>
          <cell r="W119">
            <v>222814.58</v>
          </cell>
          <cell r="X119">
            <v>247968.19</v>
          </cell>
          <cell r="Y119">
            <v>264011.25</v>
          </cell>
          <cell r="Z119">
            <v>251636.63</v>
          </cell>
          <cell r="AA119">
            <v>264908.71000000002</v>
          </cell>
          <cell r="AB119">
            <v>376510.84</v>
          </cell>
          <cell r="AC119">
            <v>316701.89</v>
          </cell>
          <cell r="AD119">
            <v>274755.15999999997</v>
          </cell>
          <cell r="AE119">
            <v>271376.77</v>
          </cell>
          <cell r="AF119">
            <v>281769.46999999997</v>
          </cell>
          <cell r="AG119">
            <v>259889.97</v>
          </cell>
          <cell r="AH119">
            <v>217598.48</v>
          </cell>
          <cell r="AJ119">
            <v>0</v>
          </cell>
        </row>
        <row r="120"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107992.53</v>
          </cell>
          <cell r="Q120">
            <v>99637.92</v>
          </cell>
          <cell r="R120">
            <v>102108.22</v>
          </cell>
          <cell r="S120">
            <v>96952.43</v>
          </cell>
          <cell r="T120">
            <v>93513.16</v>
          </cell>
          <cell r="U120">
            <v>91194.95</v>
          </cell>
          <cell r="V120">
            <v>92160.639999999999</v>
          </cell>
          <cell r="W120">
            <v>87158.49</v>
          </cell>
          <cell r="X120">
            <v>82451.08</v>
          </cell>
          <cell r="Y120">
            <v>78497.279999999999</v>
          </cell>
          <cell r="Z120">
            <v>70376.039999999994</v>
          </cell>
          <cell r="AA120">
            <v>68639.23</v>
          </cell>
          <cell r="AB120">
            <v>115321.72</v>
          </cell>
          <cell r="AC120">
            <v>117754.64</v>
          </cell>
          <cell r="AD120">
            <v>111273.61</v>
          </cell>
          <cell r="AE120">
            <v>103906.21</v>
          </cell>
          <cell r="AF120">
            <v>95231.59</v>
          </cell>
          <cell r="AG120">
            <v>88808.22</v>
          </cell>
          <cell r="AH120">
            <v>80846.259999999995</v>
          </cell>
          <cell r="AJ120">
            <v>0</v>
          </cell>
        </row>
        <row r="121">
          <cell r="J121">
            <v>720879.35</v>
          </cell>
          <cell r="K121">
            <v>709859.49</v>
          </cell>
          <cell r="L121">
            <v>622357.85</v>
          </cell>
          <cell r="M121">
            <v>559760.93999999994</v>
          </cell>
          <cell r="N121">
            <v>561608.56000000006</v>
          </cell>
          <cell r="O121">
            <v>508006.27</v>
          </cell>
          <cell r="P121">
            <v>562488.85</v>
          </cell>
          <cell r="Q121">
            <v>538522.47</v>
          </cell>
          <cell r="R121">
            <v>583518.41</v>
          </cell>
          <cell r="S121">
            <v>560393.91</v>
          </cell>
          <cell r="T121">
            <v>542429.84</v>
          </cell>
          <cell r="U121">
            <v>538950.37</v>
          </cell>
          <cell r="V121">
            <v>538283.25</v>
          </cell>
          <cell r="W121">
            <v>506980.54</v>
          </cell>
          <cell r="X121">
            <v>439563.84</v>
          </cell>
          <cell r="Y121">
            <v>399347.93</v>
          </cell>
          <cell r="Z121">
            <v>350699.74</v>
          </cell>
          <cell r="AA121">
            <v>326994.18</v>
          </cell>
          <cell r="AB121">
            <v>626866.25</v>
          </cell>
          <cell r="AC121">
            <v>649678.4</v>
          </cell>
          <cell r="AD121">
            <v>636781.52</v>
          </cell>
          <cell r="AE121">
            <v>600942.06000000006</v>
          </cell>
          <cell r="AF121">
            <v>560855.03</v>
          </cell>
          <cell r="AG121">
            <v>528241.85</v>
          </cell>
          <cell r="AH121">
            <v>492515.44</v>
          </cell>
          <cell r="AJ121">
            <v>709859.49</v>
          </cell>
        </row>
        <row r="122">
          <cell r="J122">
            <v>535455.31000000006</v>
          </cell>
          <cell r="K122">
            <v>561728.48</v>
          </cell>
          <cell r="L122">
            <v>482691.11</v>
          </cell>
          <cell r="M122">
            <v>423892.02</v>
          </cell>
          <cell r="N122">
            <v>408214.38</v>
          </cell>
          <cell r="O122">
            <v>353348.38</v>
          </cell>
          <cell r="P122">
            <v>571445.14</v>
          </cell>
          <cell r="Q122">
            <v>594075.49</v>
          </cell>
          <cell r="R122">
            <v>598573.92000000004</v>
          </cell>
          <cell r="S122">
            <v>536540.82999999996</v>
          </cell>
          <cell r="T122">
            <v>488451.75</v>
          </cell>
          <cell r="U122">
            <v>486534.35</v>
          </cell>
          <cell r="V122">
            <v>528155.29</v>
          </cell>
          <cell r="W122">
            <v>539963.07999999996</v>
          </cell>
          <cell r="X122">
            <v>461650.65</v>
          </cell>
          <cell r="Y122">
            <v>405076.47999999998</v>
          </cell>
          <cell r="Z122">
            <v>337360.07</v>
          </cell>
          <cell r="AA122">
            <v>301419.3</v>
          </cell>
          <cell r="AB122">
            <v>600225.03</v>
          </cell>
          <cell r="AC122">
            <v>680622.26</v>
          </cell>
          <cell r="AD122">
            <v>650607.13</v>
          </cell>
          <cell r="AE122">
            <v>559861.57999999996</v>
          </cell>
          <cell r="AF122">
            <v>485610.71</v>
          </cell>
          <cell r="AG122">
            <v>475093.58</v>
          </cell>
          <cell r="AH122">
            <v>482029.83</v>
          </cell>
          <cell r="AJ122">
            <v>561728.48</v>
          </cell>
        </row>
        <row r="123">
          <cell r="J123">
            <v>69561.8</v>
          </cell>
          <cell r="K123">
            <v>73973.929999999993</v>
          </cell>
          <cell r="L123">
            <v>66710.11</v>
          </cell>
          <cell r="M123">
            <v>59496.05</v>
          </cell>
          <cell r="N123">
            <v>57978.33</v>
          </cell>
          <cell r="O123">
            <v>50515.7</v>
          </cell>
          <cell r="P123">
            <v>70582.75</v>
          </cell>
          <cell r="Q123">
            <v>72360.929999999993</v>
          </cell>
          <cell r="R123">
            <v>64487.59</v>
          </cell>
          <cell r="S123">
            <v>60427.51</v>
          </cell>
          <cell r="T123">
            <v>55208.82</v>
          </cell>
          <cell r="U123">
            <v>50650.66</v>
          </cell>
          <cell r="V123">
            <v>62275.45</v>
          </cell>
          <cell r="W123">
            <v>63784.19</v>
          </cell>
          <cell r="X123">
            <v>58353.88</v>
          </cell>
          <cell r="Y123">
            <v>54519.18</v>
          </cell>
          <cell r="Z123">
            <v>44839.53</v>
          </cell>
          <cell r="AA123">
            <v>42809.49</v>
          </cell>
          <cell r="AB123">
            <v>75331.37</v>
          </cell>
          <cell r="AC123">
            <v>83546.929999999993</v>
          </cell>
          <cell r="AD123">
            <v>70717.84</v>
          </cell>
          <cell r="AE123">
            <v>62329.65</v>
          </cell>
          <cell r="AF123">
            <v>54443.21</v>
          </cell>
          <cell r="AG123">
            <v>47347.18</v>
          </cell>
          <cell r="AH123">
            <v>52868.31</v>
          </cell>
          <cell r="AJ123">
            <v>73973.929999999993</v>
          </cell>
        </row>
        <row r="124">
          <cell r="J124">
            <v>44283.26</v>
          </cell>
          <cell r="K124">
            <v>41118.22</v>
          </cell>
          <cell r="L124">
            <v>37893.96</v>
          </cell>
          <cell r="M124">
            <v>30451.09</v>
          </cell>
          <cell r="N124">
            <v>33454.61</v>
          </cell>
          <cell r="O124">
            <v>24442.28</v>
          </cell>
          <cell r="P124">
            <v>36609.199999999997</v>
          </cell>
          <cell r="Q124">
            <v>37566.32</v>
          </cell>
          <cell r="R124">
            <v>37338.49</v>
          </cell>
          <cell r="S124">
            <v>32028.15</v>
          </cell>
          <cell r="T124">
            <v>29889.89</v>
          </cell>
          <cell r="U124">
            <v>30608.94</v>
          </cell>
          <cell r="V124">
            <v>34596.15</v>
          </cell>
          <cell r="W124">
            <v>34774.92</v>
          </cell>
          <cell r="X124">
            <v>30484.36</v>
          </cell>
          <cell r="Y124">
            <v>27544.77</v>
          </cell>
          <cell r="Z124">
            <v>23679.8</v>
          </cell>
          <cell r="AA124">
            <v>19334.39</v>
          </cell>
          <cell r="AB124">
            <v>42441.99</v>
          </cell>
          <cell r="AC124">
            <v>45869</v>
          </cell>
          <cell r="AD124">
            <v>42147.42</v>
          </cell>
          <cell r="AE124">
            <v>34954.639999999999</v>
          </cell>
          <cell r="AF124">
            <v>30999.8</v>
          </cell>
          <cell r="AG124">
            <v>30708.48</v>
          </cell>
          <cell r="AH124">
            <v>32027.67</v>
          </cell>
          <cell r="AJ124">
            <v>41118.22</v>
          </cell>
        </row>
        <row r="125">
          <cell r="J125">
            <v>180923.34</v>
          </cell>
          <cell r="K125">
            <v>188158.44</v>
          </cell>
          <cell r="L125">
            <v>160992.12</v>
          </cell>
          <cell r="M125">
            <v>141631.43</v>
          </cell>
          <cell r="N125">
            <v>144993.67000000001</v>
          </cell>
          <cell r="O125">
            <v>128540.24</v>
          </cell>
          <cell r="P125">
            <v>177687.87</v>
          </cell>
          <cell r="Q125">
            <v>175291.92</v>
          </cell>
          <cell r="R125">
            <v>196142.79</v>
          </cell>
          <cell r="S125">
            <v>190339.76</v>
          </cell>
          <cell r="T125">
            <v>172343.11</v>
          </cell>
          <cell r="U125">
            <v>164572.09</v>
          </cell>
          <cell r="V125">
            <v>173731.36</v>
          </cell>
          <cell r="W125">
            <v>166034.85999999999</v>
          </cell>
          <cell r="X125">
            <v>143783.56</v>
          </cell>
          <cell r="Y125">
            <v>130669.18</v>
          </cell>
          <cell r="Z125">
            <v>111957.72</v>
          </cell>
          <cell r="AA125">
            <v>100380.34</v>
          </cell>
          <cell r="AB125">
            <v>200526.3</v>
          </cell>
          <cell r="AC125">
            <v>210714.79</v>
          </cell>
          <cell r="AD125">
            <v>215157.34</v>
          </cell>
          <cell r="AE125">
            <v>205860.07</v>
          </cell>
          <cell r="AF125">
            <v>177595.91</v>
          </cell>
          <cell r="AG125">
            <v>161557.67000000001</v>
          </cell>
          <cell r="AH125">
            <v>154459.68</v>
          </cell>
          <cell r="AJ125">
            <v>188158.44</v>
          </cell>
        </row>
        <row r="126">
          <cell r="J126">
            <v>11030.02</v>
          </cell>
          <cell r="K126">
            <v>11118.17</v>
          </cell>
          <cell r="L126">
            <v>9894.34</v>
          </cell>
          <cell r="M126">
            <v>8751.4500000000007</v>
          </cell>
          <cell r="N126">
            <v>8608.18</v>
          </cell>
          <cell r="O126">
            <v>7641.46</v>
          </cell>
          <cell r="P126">
            <v>11807.11</v>
          </cell>
          <cell r="Q126">
            <v>11413.42</v>
          </cell>
          <cell r="R126">
            <v>11833.85</v>
          </cell>
          <cell r="S126">
            <v>10527.3</v>
          </cell>
          <cell r="T126">
            <v>9774.91</v>
          </cell>
          <cell r="U126">
            <v>10193.030000000001</v>
          </cell>
          <cell r="V126">
            <v>10511.66</v>
          </cell>
          <cell r="W126">
            <v>10514.39</v>
          </cell>
          <cell r="X126">
            <v>9456.23</v>
          </cell>
          <cell r="Y126">
            <v>8721.89</v>
          </cell>
          <cell r="Z126">
            <v>7781.26</v>
          </cell>
          <cell r="AA126">
            <v>7306.67</v>
          </cell>
          <cell r="AB126">
            <v>13587.65</v>
          </cell>
          <cell r="AC126">
            <v>14135.35</v>
          </cell>
          <cell r="AD126">
            <v>13399.81</v>
          </cell>
          <cell r="AE126">
            <v>11614.55</v>
          </cell>
          <cell r="AF126">
            <v>10117.700000000001</v>
          </cell>
          <cell r="AG126">
            <v>10603.02</v>
          </cell>
          <cell r="AH126">
            <v>9688.58</v>
          </cell>
          <cell r="AJ126">
            <v>11118.17</v>
          </cell>
        </row>
        <row r="127"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</row>
        <row r="128"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</row>
        <row r="129"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</row>
        <row r="131">
          <cell r="J131">
            <v>-528463.68999999994</v>
          </cell>
          <cell r="K131">
            <v>-452328.2</v>
          </cell>
          <cell r="L131">
            <v>-558820.05000000005</v>
          </cell>
          <cell r="M131">
            <v>-679004.48</v>
          </cell>
          <cell r="N131">
            <v>-714068.61</v>
          </cell>
          <cell r="O131">
            <v>-887608.31999999995</v>
          </cell>
          <cell r="P131">
            <v>-435494.58</v>
          </cell>
          <cell r="Q131">
            <v>-333315</v>
          </cell>
          <cell r="R131">
            <v>-336380.4</v>
          </cell>
          <cell r="S131">
            <v>-442963.57</v>
          </cell>
          <cell r="T131">
            <v>-470137.79</v>
          </cell>
          <cell r="U131">
            <v>-480164.76</v>
          </cell>
          <cell r="V131">
            <v>-441613.87</v>
          </cell>
          <cell r="W131">
            <v>-364821.78</v>
          </cell>
          <cell r="X131">
            <v>-373323.54</v>
          </cell>
          <cell r="Y131">
            <v>-431898.38</v>
          </cell>
          <cell r="Z131">
            <v>-491134.63</v>
          </cell>
          <cell r="AA131">
            <v>-593400.4</v>
          </cell>
          <cell r="AB131">
            <v>-390455.53</v>
          </cell>
          <cell r="AC131">
            <v>-297957.23</v>
          </cell>
          <cell r="AD131">
            <v>-306352.34999999998</v>
          </cell>
          <cell r="AE131">
            <v>-395053.07</v>
          </cell>
          <cell r="AF131">
            <v>-463791.16</v>
          </cell>
          <cell r="AG131">
            <v>-443064.16</v>
          </cell>
          <cell r="AH131">
            <v>-355216.09</v>
          </cell>
          <cell r="AJ131">
            <v>-452328.2</v>
          </cell>
        </row>
        <row r="132"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-226172.42</v>
          </cell>
          <cell r="Q132">
            <v>-166413.07999999999</v>
          </cell>
          <cell r="R132">
            <v>-148173.87</v>
          </cell>
          <cell r="S132">
            <v>-183733.01</v>
          </cell>
          <cell r="T132">
            <v>-195374.65</v>
          </cell>
          <cell r="U132">
            <v>-201655.05</v>
          </cell>
          <cell r="V132">
            <v>-193128.75</v>
          </cell>
          <cell r="W132">
            <v>-165551.35999999999</v>
          </cell>
          <cell r="X132">
            <v>-188849.39</v>
          </cell>
          <cell r="Y132">
            <v>-229487.87</v>
          </cell>
          <cell r="Z132">
            <v>-263896.46999999997</v>
          </cell>
          <cell r="AA132">
            <v>-324174.74</v>
          </cell>
          <cell r="AB132">
            <v>-199856.05</v>
          </cell>
          <cell r="AC132">
            <v>-149398.16</v>
          </cell>
          <cell r="AD132">
            <v>-138077.4</v>
          </cell>
          <cell r="AE132">
            <v>-164223.79</v>
          </cell>
          <cell r="AF132">
            <v>-191049.1</v>
          </cell>
          <cell r="AG132">
            <v>-184754.72</v>
          </cell>
          <cell r="AH132">
            <v>-153559.71</v>
          </cell>
          <cell r="AJ132">
            <v>0</v>
          </cell>
        </row>
        <row r="133"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-69029.52</v>
          </cell>
          <cell r="Q133">
            <v>-59301.17</v>
          </cell>
          <cell r="R133">
            <v>-64150.3</v>
          </cell>
          <cell r="S133">
            <v>-68619.600000000006</v>
          </cell>
          <cell r="T133">
            <v>-66375.19</v>
          </cell>
          <cell r="U133">
            <v>-66531.520000000004</v>
          </cell>
          <cell r="V133">
            <v>-69965.14</v>
          </cell>
          <cell r="W133">
            <v>-64758.81</v>
          </cell>
          <cell r="X133">
            <v>-62793.69</v>
          </cell>
          <cell r="Y133">
            <v>-68232.600000000006</v>
          </cell>
          <cell r="Z133">
            <v>-73804.789999999994</v>
          </cell>
          <cell r="AA133">
            <v>-83995.36</v>
          </cell>
          <cell r="AB133">
            <v>-61214.02</v>
          </cell>
          <cell r="AC133">
            <v>-55548.54</v>
          </cell>
          <cell r="AD133">
            <v>-55920.22</v>
          </cell>
          <cell r="AE133">
            <v>-62878.9</v>
          </cell>
          <cell r="AF133">
            <v>-64570.19</v>
          </cell>
          <cell r="AG133">
            <v>-63133.41</v>
          </cell>
          <cell r="AH133">
            <v>-57053.38</v>
          </cell>
          <cell r="AJ133">
            <v>0</v>
          </cell>
        </row>
        <row r="134">
          <cell r="J134">
            <v>-416711.7</v>
          </cell>
          <cell r="K134">
            <v>-389360.47</v>
          </cell>
          <cell r="L134">
            <v>-390904.86</v>
          </cell>
          <cell r="M134">
            <v>-441447.77</v>
          </cell>
          <cell r="N134">
            <v>-433085.82</v>
          </cell>
          <cell r="O134">
            <v>-468172.3</v>
          </cell>
          <cell r="P134">
            <v>-359546.48</v>
          </cell>
          <cell r="Q134">
            <v>-320510.61</v>
          </cell>
          <cell r="R134">
            <v>-366600.07</v>
          </cell>
          <cell r="S134">
            <v>-396627.6</v>
          </cell>
          <cell r="T134">
            <v>-385014.08</v>
          </cell>
          <cell r="U134">
            <v>-393192.69</v>
          </cell>
          <cell r="V134">
            <v>-408645.83</v>
          </cell>
          <cell r="W134">
            <v>-376686.83</v>
          </cell>
          <cell r="X134">
            <v>-334766.18</v>
          </cell>
          <cell r="Y134">
            <v>-347127.28</v>
          </cell>
          <cell r="Z134">
            <v>-367785.97</v>
          </cell>
          <cell r="AA134">
            <v>-400150.12</v>
          </cell>
          <cell r="AB134">
            <v>-332747.42</v>
          </cell>
          <cell r="AC134">
            <v>-306473.57</v>
          </cell>
          <cell r="AD134">
            <v>-320012.68</v>
          </cell>
          <cell r="AE134">
            <v>-363660.39</v>
          </cell>
          <cell r="AF134">
            <v>-380278.42</v>
          </cell>
          <cell r="AG134">
            <v>-375524.99</v>
          </cell>
          <cell r="AH134">
            <v>-347569.19</v>
          </cell>
          <cell r="AJ134">
            <v>-389360.47</v>
          </cell>
        </row>
        <row r="135">
          <cell r="J135">
            <v>-333142.57</v>
          </cell>
          <cell r="K135">
            <v>-332026.90999999997</v>
          </cell>
          <cell r="L135">
            <v>-328140.56</v>
          </cell>
          <cell r="M135">
            <v>-352668.57</v>
          </cell>
          <cell r="N135">
            <v>-337296.75</v>
          </cell>
          <cell r="O135">
            <v>-345846.14</v>
          </cell>
          <cell r="P135">
            <v>-352517.15</v>
          </cell>
          <cell r="Q135">
            <v>-344083.3</v>
          </cell>
          <cell r="R135">
            <v>-360294.84</v>
          </cell>
          <cell r="S135">
            <v>-362952.72</v>
          </cell>
          <cell r="T135">
            <v>-339127.73</v>
          </cell>
          <cell r="U135">
            <v>-345077.22</v>
          </cell>
          <cell r="V135">
            <v>-378246.38</v>
          </cell>
          <cell r="W135">
            <v>-378416.42</v>
          </cell>
          <cell r="X135">
            <v>-342650.89</v>
          </cell>
          <cell r="Y135">
            <v>-343025.47</v>
          </cell>
          <cell r="Z135">
            <v>-344243.71</v>
          </cell>
          <cell r="AA135">
            <v>-355099.88</v>
          </cell>
          <cell r="AB135">
            <v>-318605.98</v>
          </cell>
          <cell r="AC135">
            <v>-321070.75</v>
          </cell>
          <cell r="AD135">
            <v>-326960.7</v>
          </cell>
          <cell r="AE135">
            <v>-338800.52</v>
          </cell>
          <cell r="AF135">
            <v>-329260.26</v>
          </cell>
          <cell r="AG135">
            <v>-337742.1</v>
          </cell>
          <cell r="AH135">
            <v>-340169.48</v>
          </cell>
          <cell r="AJ135">
            <v>-332026.90999999997</v>
          </cell>
        </row>
        <row r="136">
          <cell r="J136">
            <v>-40210.910000000003</v>
          </cell>
          <cell r="K136">
            <v>-40574.97</v>
          </cell>
          <cell r="L136">
            <v>-41900.83</v>
          </cell>
          <cell r="M136">
            <v>-46920.74</v>
          </cell>
          <cell r="N136">
            <v>-44710.13</v>
          </cell>
          <cell r="O136">
            <v>-46554.65</v>
          </cell>
          <cell r="P136">
            <v>-45116.95</v>
          </cell>
          <cell r="Q136">
            <v>-43066.81</v>
          </cell>
          <cell r="R136">
            <v>-40514.839999999997</v>
          </cell>
          <cell r="S136">
            <v>-42768.52</v>
          </cell>
          <cell r="T136">
            <v>-39186.949999999997</v>
          </cell>
          <cell r="U136">
            <v>-36952.32</v>
          </cell>
          <cell r="V136">
            <v>-47277.34</v>
          </cell>
          <cell r="W136">
            <v>-47391.69</v>
          </cell>
          <cell r="X136">
            <v>-44441.57</v>
          </cell>
          <cell r="Y136">
            <v>-47389.99</v>
          </cell>
          <cell r="Z136">
            <v>-47024.13</v>
          </cell>
          <cell r="AA136">
            <v>-52386.93</v>
          </cell>
          <cell r="AB136">
            <v>-39986.71</v>
          </cell>
          <cell r="AC136">
            <v>-39411.69</v>
          </cell>
          <cell r="AD136">
            <v>-35539.040000000001</v>
          </cell>
          <cell r="AE136">
            <v>-37718.82</v>
          </cell>
          <cell r="AF136">
            <v>-36914.31</v>
          </cell>
          <cell r="AG136">
            <v>-33658.92</v>
          </cell>
          <cell r="AH136">
            <v>-37309.279999999999</v>
          </cell>
          <cell r="AJ136">
            <v>-40574.97</v>
          </cell>
        </row>
        <row r="137">
          <cell r="J137">
            <v>-25598.39</v>
          </cell>
          <cell r="K137">
            <v>-22553.49</v>
          </cell>
          <cell r="L137">
            <v>-23801.31</v>
          </cell>
          <cell r="M137">
            <v>-24014.83</v>
          </cell>
          <cell r="N137">
            <v>-25798.6</v>
          </cell>
          <cell r="O137">
            <v>-22525.71</v>
          </cell>
          <cell r="P137">
            <v>-23400.84</v>
          </cell>
          <cell r="Q137">
            <v>-22358.22</v>
          </cell>
          <cell r="R137">
            <v>-23458.2</v>
          </cell>
          <cell r="S137">
            <v>-22668.42</v>
          </cell>
          <cell r="T137">
            <v>-21215.7</v>
          </cell>
          <cell r="U137">
            <v>-22330.84</v>
          </cell>
          <cell r="V137">
            <v>-26264.19</v>
          </cell>
          <cell r="W137">
            <v>-25837.78</v>
          </cell>
          <cell r="X137">
            <v>-23216.5</v>
          </cell>
          <cell r="Y137">
            <v>-23942.89</v>
          </cell>
          <cell r="Z137">
            <v>-24833.49</v>
          </cell>
          <cell r="AA137">
            <v>-23659.919999999998</v>
          </cell>
          <cell r="AB137">
            <v>-22528.67</v>
          </cell>
          <cell r="AC137">
            <v>-21637.84</v>
          </cell>
          <cell r="AD137">
            <v>-21181.06</v>
          </cell>
          <cell r="AE137">
            <v>-21152.82</v>
          </cell>
          <cell r="AF137">
            <v>-21018.9</v>
          </cell>
          <cell r="AG137">
            <v>-21830.53</v>
          </cell>
          <cell r="AH137">
            <v>-22602</v>
          </cell>
          <cell r="AJ137">
            <v>-22553.49</v>
          </cell>
        </row>
        <row r="138">
          <cell r="J138">
            <v>-104584.59</v>
          </cell>
          <cell r="K138">
            <v>-103205.58</v>
          </cell>
          <cell r="L138">
            <v>-101119.64</v>
          </cell>
          <cell r="M138">
            <v>-111695.67999999999</v>
          </cell>
          <cell r="N138">
            <v>-111812.23</v>
          </cell>
          <cell r="O138">
            <v>-118461.1</v>
          </cell>
          <cell r="P138">
            <v>-113579.23</v>
          </cell>
          <cell r="Q138">
            <v>-104327.9</v>
          </cell>
          <cell r="R138">
            <v>-123228.26</v>
          </cell>
          <cell r="S138">
            <v>-134715.95000000001</v>
          </cell>
          <cell r="T138">
            <v>-122328.3</v>
          </cell>
          <cell r="U138">
            <v>-120064.01</v>
          </cell>
          <cell r="V138">
            <v>-131890.78</v>
          </cell>
          <cell r="W138">
            <v>-123363.99</v>
          </cell>
          <cell r="X138">
            <v>-109503.72</v>
          </cell>
          <cell r="Y138">
            <v>-113582.25</v>
          </cell>
          <cell r="Z138">
            <v>-117412.34</v>
          </cell>
          <cell r="AA138">
            <v>-122837.68</v>
          </cell>
          <cell r="AB138">
            <v>-106441.54</v>
          </cell>
          <cell r="AC138">
            <v>-99400.74</v>
          </cell>
          <cell r="AD138">
            <v>-108126.69</v>
          </cell>
          <cell r="AE138">
            <v>-124576.33</v>
          </cell>
          <cell r="AF138">
            <v>-120415.95</v>
          </cell>
          <cell r="AG138">
            <v>-114850.69</v>
          </cell>
          <cell r="AH138">
            <v>-109002.52</v>
          </cell>
          <cell r="AJ138">
            <v>-103205.58</v>
          </cell>
        </row>
        <row r="139">
          <cell r="J139">
            <v>-6376.02</v>
          </cell>
          <cell r="K139">
            <v>-6098.35</v>
          </cell>
          <cell r="L139">
            <v>-6214.66</v>
          </cell>
          <cell r="M139">
            <v>-6901.71</v>
          </cell>
          <cell r="N139">
            <v>-6638.22</v>
          </cell>
          <cell r="O139">
            <v>-7042.27</v>
          </cell>
          <cell r="P139">
            <v>-7547.18</v>
          </cell>
          <cell r="Q139">
            <v>-6792.89</v>
          </cell>
          <cell r="R139">
            <v>-7434.71</v>
          </cell>
          <cell r="S139">
            <v>-7450.86</v>
          </cell>
          <cell r="T139">
            <v>-6938.19</v>
          </cell>
          <cell r="U139">
            <v>-7436.36</v>
          </cell>
          <cell r="V139">
            <v>-7980.08</v>
          </cell>
          <cell r="W139">
            <v>-7812.2</v>
          </cell>
          <cell r="X139">
            <v>-7201.75</v>
          </cell>
          <cell r="Y139">
            <v>-7581.37</v>
          </cell>
          <cell r="Z139">
            <v>-8160.36</v>
          </cell>
          <cell r="AA139">
            <v>-8941.33</v>
          </cell>
          <cell r="AB139">
            <v>-7212.47</v>
          </cell>
          <cell r="AC139">
            <v>-6668.09</v>
          </cell>
          <cell r="AD139">
            <v>-6734.04</v>
          </cell>
          <cell r="AE139">
            <v>-7028.55</v>
          </cell>
          <cell r="AF139">
            <v>-6860.14</v>
          </cell>
          <cell r="AG139">
            <v>-7537.65</v>
          </cell>
          <cell r="AH139">
            <v>-6837.25</v>
          </cell>
          <cell r="AJ139">
            <v>-6098.35</v>
          </cell>
        </row>
        <row r="140"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</row>
        <row r="141"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</row>
        <row r="142"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</row>
        <row r="144"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</row>
        <row r="145"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</row>
        <row r="146"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</row>
        <row r="147"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</row>
        <row r="148"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</row>
        <row r="151"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</row>
        <row r="153"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</row>
        <row r="154"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</row>
        <row r="155"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</row>
        <row r="157">
          <cell r="J157">
            <v>-103140.85</v>
          </cell>
          <cell r="K157">
            <v>-90019.6</v>
          </cell>
          <cell r="L157">
            <v>-98569.62</v>
          </cell>
          <cell r="M157">
            <v>-116234.25</v>
          </cell>
          <cell r="N157">
            <v>-120866.56</v>
          </cell>
          <cell r="O157">
            <v>-147140.07999999999</v>
          </cell>
          <cell r="P157">
            <v>-71039.08</v>
          </cell>
          <cell r="Q157">
            <v>-54012.480000000003</v>
          </cell>
          <cell r="R157">
            <v>-45446.53</v>
          </cell>
          <cell r="S157">
            <v>-58047.040000000001</v>
          </cell>
          <cell r="T157">
            <v>-75437.77</v>
          </cell>
          <cell r="U157">
            <v>-81181.460000000006</v>
          </cell>
          <cell r="V157">
            <v>-64387.11</v>
          </cell>
          <cell r="W157">
            <v>-48742.69</v>
          </cell>
          <cell r="X157">
            <v>-49838.43</v>
          </cell>
          <cell r="Y157">
            <v>-60069.84</v>
          </cell>
          <cell r="Z157">
            <v>-65618.58</v>
          </cell>
          <cell r="AA157">
            <v>-85593.02</v>
          </cell>
          <cell r="AB157">
            <v>-52023.49</v>
          </cell>
          <cell r="AC157">
            <v>-36248.43</v>
          </cell>
          <cell r="AD157">
            <v>-35952.379999999997</v>
          </cell>
          <cell r="AE157">
            <v>-41852.879999999997</v>
          </cell>
          <cell r="AF157">
            <v>-57441.31</v>
          </cell>
          <cell r="AG157">
            <v>-60255.519999999997</v>
          </cell>
          <cell r="AH157">
            <v>-46714.8</v>
          </cell>
          <cell r="AJ157">
            <v>-90019.6</v>
          </cell>
        </row>
        <row r="158"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-37506.32</v>
          </cell>
          <cell r="Q158">
            <v>-28677.279999999999</v>
          </cell>
          <cell r="R158">
            <v>-20543.59</v>
          </cell>
          <cell r="S158">
            <v>-23907.06</v>
          </cell>
          <cell r="T158">
            <v>-31136.21</v>
          </cell>
          <cell r="U158">
            <v>-33549.22</v>
          </cell>
          <cell r="V158">
            <v>-27666.04</v>
          </cell>
          <cell r="W158">
            <v>-20649.73</v>
          </cell>
          <cell r="X158">
            <v>-24682.93</v>
          </cell>
          <cell r="Y158">
            <v>-31881.37</v>
          </cell>
          <cell r="Z158">
            <v>-34991.31</v>
          </cell>
          <cell r="AA158">
            <v>-47533.52</v>
          </cell>
          <cell r="AB158">
            <v>-27001.68</v>
          </cell>
          <cell r="AC158">
            <v>-19573.28</v>
          </cell>
          <cell r="AD158">
            <v>-17041.95</v>
          </cell>
          <cell r="AE158">
            <v>-17364.61</v>
          </cell>
          <cell r="AF158">
            <v>-23497.08</v>
          </cell>
          <cell r="AG158">
            <v>-24686.03</v>
          </cell>
          <cell r="AH158">
            <v>-19813.2</v>
          </cell>
          <cell r="AJ158">
            <v>0</v>
          </cell>
        </row>
        <row r="159"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-10598.5</v>
          </cell>
          <cell r="Q159">
            <v>-9392.2900000000009</v>
          </cell>
          <cell r="R159">
            <v>-9804.14</v>
          </cell>
          <cell r="S159">
            <v>-9469.9599999999991</v>
          </cell>
          <cell r="T159">
            <v>-10723.09</v>
          </cell>
          <cell r="U159">
            <v>-10465.61</v>
          </cell>
          <cell r="V159">
            <v>-9944.6</v>
          </cell>
          <cell r="W159">
            <v>-8965.7999999999993</v>
          </cell>
          <cell r="X159">
            <v>-8704.41</v>
          </cell>
          <cell r="Y159">
            <v>-9627.81</v>
          </cell>
          <cell r="Z159">
            <v>-10133.23</v>
          </cell>
          <cell r="AA159">
            <v>-11611.28</v>
          </cell>
          <cell r="AB159">
            <v>-7414.81</v>
          </cell>
          <cell r="AC159">
            <v>-6925.97</v>
          </cell>
          <cell r="AD159">
            <v>-7266.07</v>
          </cell>
          <cell r="AE159">
            <v>-7300.52</v>
          </cell>
          <cell r="AF159">
            <v>-7866.17</v>
          </cell>
          <cell r="AG159">
            <v>-8007.41</v>
          </cell>
          <cell r="AH159">
            <v>-7365.23</v>
          </cell>
          <cell r="AJ159">
            <v>0</v>
          </cell>
        </row>
        <row r="160">
          <cell r="J160">
            <v>-79905.16</v>
          </cell>
          <cell r="K160">
            <v>-75248.95</v>
          </cell>
          <cell r="L160">
            <v>-68684.87</v>
          </cell>
          <cell r="M160">
            <v>-75554.899999999994</v>
          </cell>
          <cell r="N160">
            <v>-74796.33</v>
          </cell>
          <cell r="O160">
            <v>-69946.36</v>
          </cell>
          <cell r="P160">
            <v>-53293.17</v>
          </cell>
          <cell r="Q160">
            <v>-49827.74</v>
          </cell>
          <cell r="R160">
            <v>-55852.78</v>
          </cell>
          <cell r="S160">
            <v>-54711.35</v>
          </cell>
          <cell r="T160">
            <v>-61063.199999999997</v>
          </cell>
          <cell r="U160">
            <v>-62957.49</v>
          </cell>
          <cell r="V160">
            <v>-57696.74</v>
          </cell>
          <cell r="W160">
            <v>-54747.24</v>
          </cell>
          <cell r="X160">
            <v>-47319.01</v>
          </cell>
          <cell r="Y160">
            <v>-49381.79</v>
          </cell>
          <cell r="Z160">
            <v>-51086.65</v>
          </cell>
          <cell r="AA160">
            <v>-53738.6</v>
          </cell>
          <cell r="AB160">
            <v>-39034.94</v>
          </cell>
          <cell r="AC160">
            <v>-37688.449999999997</v>
          </cell>
          <cell r="AD160">
            <v>-41605.01</v>
          </cell>
          <cell r="AE160">
            <v>-41807.01</v>
          </cell>
          <cell r="AF160">
            <v>-45494.53</v>
          </cell>
          <cell r="AG160">
            <v>-47859.58</v>
          </cell>
          <cell r="AH160">
            <v>-44870.1</v>
          </cell>
          <cell r="AJ160">
            <v>-75248.95</v>
          </cell>
        </row>
        <row r="161">
          <cell r="J161">
            <v>-60378.38</v>
          </cell>
          <cell r="K161">
            <v>-59168.44</v>
          </cell>
          <cell r="L161">
            <v>-53391.86</v>
          </cell>
          <cell r="M161">
            <v>-56833.53</v>
          </cell>
          <cell r="N161">
            <v>-52688.74</v>
          </cell>
          <cell r="O161">
            <v>-52755.49</v>
          </cell>
          <cell r="P161">
            <v>-52663.73</v>
          </cell>
          <cell r="Q161">
            <v>-57620.46</v>
          </cell>
          <cell r="R161">
            <v>-58913.95</v>
          </cell>
          <cell r="S161">
            <v>-53632.29</v>
          </cell>
          <cell r="T161">
            <v>-55734.080000000002</v>
          </cell>
          <cell r="U161">
            <v>-52777.38</v>
          </cell>
          <cell r="V161">
            <v>-55038.44</v>
          </cell>
          <cell r="W161">
            <v>-58851.54</v>
          </cell>
          <cell r="X161">
            <v>-51093.38</v>
          </cell>
          <cell r="Y161">
            <v>-50857.55</v>
          </cell>
          <cell r="Z161">
            <v>-51752.15</v>
          </cell>
          <cell r="AA161">
            <v>-45402.8</v>
          </cell>
          <cell r="AB161">
            <v>-36881.49</v>
          </cell>
          <cell r="AC161">
            <v>-40033.49</v>
          </cell>
          <cell r="AD161">
            <v>-43824.72</v>
          </cell>
          <cell r="AE161">
            <v>-39828.639999999999</v>
          </cell>
          <cell r="AF161">
            <v>-40349.449999999997</v>
          </cell>
          <cell r="AG161">
            <v>-39661.93</v>
          </cell>
          <cell r="AH161">
            <v>-42311.27</v>
          </cell>
          <cell r="AJ161">
            <v>-59168.44</v>
          </cell>
        </row>
        <row r="162">
          <cell r="J162">
            <v>-7957.21</v>
          </cell>
          <cell r="K162">
            <v>-8144.29</v>
          </cell>
          <cell r="L162">
            <v>-7401.06</v>
          </cell>
          <cell r="M162">
            <v>-7912.13</v>
          </cell>
          <cell r="N162">
            <v>-7530.01</v>
          </cell>
          <cell r="O162">
            <v>-7405.78</v>
          </cell>
          <cell r="P162">
            <v>-6370.38</v>
          </cell>
          <cell r="Q162">
            <v>-7462.06</v>
          </cell>
          <cell r="R162">
            <v>-6678.84</v>
          </cell>
          <cell r="S162">
            <v>-5573.38</v>
          </cell>
          <cell r="T162">
            <v>-6739.54</v>
          </cell>
          <cell r="U162">
            <v>-4944.66</v>
          </cell>
          <cell r="V162">
            <v>-6546.06</v>
          </cell>
          <cell r="W162">
            <v>-6556.37</v>
          </cell>
          <cell r="X162">
            <v>-6372.72</v>
          </cell>
          <cell r="Y162">
            <v>-6994.02</v>
          </cell>
          <cell r="Z162">
            <v>-6636.89</v>
          </cell>
          <cell r="AA162">
            <v>-6794.72</v>
          </cell>
          <cell r="AB162">
            <v>-4399.5200000000004</v>
          </cell>
          <cell r="AC162">
            <v>-5289.45</v>
          </cell>
          <cell r="AD162">
            <v>-5025.33</v>
          </cell>
          <cell r="AE162">
            <v>-4258.1899999999996</v>
          </cell>
          <cell r="AF162">
            <v>-4791.66</v>
          </cell>
          <cell r="AG162">
            <v>-3508.03</v>
          </cell>
          <cell r="AH162">
            <v>-4891.57</v>
          </cell>
          <cell r="AJ162">
            <v>-8144.29</v>
          </cell>
        </row>
        <row r="163">
          <cell r="J163">
            <v>-5305.73</v>
          </cell>
          <cell r="K163">
            <v>-4476.16</v>
          </cell>
          <cell r="L163">
            <v>-4541.01</v>
          </cell>
          <cell r="M163">
            <v>-3832.61</v>
          </cell>
          <cell r="N163">
            <v>-4949.33</v>
          </cell>
          <cell r="O163">
            <v>-3829.81</v>
          </cell>
          <cell r="P163">
            <v>-3531.94</v>
          </cell>
          <cell r="Q163">
            <v>-3628.09</v>
          </cell>
          <cell r="R163">
            <v>-3813.42</v>
          </cell>
          <cell r="S163">
            <v>-3098.32</v>
          </cell>
          <cell r="T163">
            <v>-3342.2</v>
          </cell>
          <cell r="U163">
            <v>-3341.88</v>
          </cell>
          <cell r="V163">
            <v>-3373.91</v>
          </cell>
          <cell r="W163">
            <v>-3705.87</v>
          </cell>
          <cell r="X163">
            <v>-3261.38</v>
          </cell>
          <cell r="Y163">
            <v>-3677.08</v>
          </cell>
          <cell r="Z163">
            <v>-3383.49</v>
          </cell>
          <cell r="AA163">
            <v>-3184.4</v>
          </cell>
          <cell r="AB163">
            <v>-2778.29</v>
          </cell>
          <cell r="AC163">
            <v>-2761.2</v>
          </cell>
          <cell r="AD163">
            <v>-3034.85</v>
          </cell>
          <cell r="AE163">
            <v>-2388.3000000000002</v>
          </cell>
          <cell r="AF163">
            <v>-2488.25</v>
          </cell>
          <cell r="AG163">
            <v>-2549.56</v>
          </cell>
          <cell r="AH163">
            <v>-2692.52</v>
          </cell>
          <cell r="AJ163">
            <v>-4476.16</v>
          </cell>
        </row>
        <row r="164">
          <cell r="J164">
            <v>-20083.22</v>
          </cell>
          <cell r="K164">
            <v>-20008.009999999998</v>
          </cell>
          <cell r="L164">
            <v>-17758.419999999998</v>
          </cell>
          <cell r="M164">
            <v>-18989.62</v>
          </cell>
          <cell r="N164">
            <v>-18884.54</v>
          </cell>
          <cell r="O164">
            <v>-19965.96</v>
          </cell>
          <cell r="P164">
            <v>-16824.2</v>
          </cell>
          <cell r="Q164">
            <v>-15770.51</v>
          </cell>
          <cell r="R164">
            <v>-18374.09</v>
          </cell>
          <cell r="S164">
            <v>-19686.23</v>
          </cell>
          <cell r="T164">
            <v>-19279.150000000001</v>
          </cell>
          <cell r="U164">
            <v>-19319.72</v>
          </cell>
          <cell r="V164">
            <v>-18190.59</v>
          </cell>
          <cell r="W164">
            <v>-17950.849999999999</v>
          </cell>
          <cell r="X164">
            <v>-15386.09</v>
          </cell>
          <cell r="Y164">
            <v>-16369.31</v>
          </cell>
          <cell r="Z164">
            <v>-16832.63</v>
          </cell>
          <cell r="AA164">
            <v>-16089.84</v>
          </cell>
          <cell r="AB164">
            <v>-12626.49</v>
          </cell>
          <cell r="AC164">
            <v>-11598.28</v>
          </cell>
          <cell r="AD164">
            <v>-13829.69</v>
          </cell>
          <cell r="AE164">
            <v>-15346.03</v>
          </cell>
          <cell r="AF164">
            <v>-14203.65</v>
          </cell>
          <cell r="AG164">
            <v>-14953.29</v>
          </cell>
          <cell r="AH164">
            <v>-13439.73</v>
          </cell>
          <cell r="AJ164">
            <v>-20008.009999999998</v>
          </cell>
        </row>
        <row r="165">
          <cell r="J165">
            <v>-1222.1400000000001</v>
          </cell>
          <cell r="K165">
            <v>-1205.95</v>
          </cell>
          <cell r="L165">
            <v>-1088.42</v>
          </cell>
          <cell r="M165">
            <v>-1189.6600000000001</v>
          </cell>
          <cell r="N165">
            <v>-1147.28</v>
          </cell>
          <cell r="O165">
            <v>-1067.96</v>
          </cell>
          <cell r="P165">
            <v>-1133.21</v>
          </cell>
          <cell r="Q165">
            <v>-1075.49</v>
          </cell>
          <cell r="R165">
            <v>-1164.6400000000001</v>
          </cell>
          <cell r="S165">
            <v>-1049.57</v>
          </cell>
          <cell r="T165">
            <v>-1076.6199999999999</v>
          </cell>
          <cell r="U165">
            <v>-1171.48</v>
          </cell>
          <cell r="V165">
            <v>-1102.3900000000001</v>
          </cell>
          <cell r="W165">
            <v>-1101.3800000000001</v>
          </cell>
          <cell r="X165">
            <v>-1032.73</v>
          </cell>
          <cell r="Y165">
            <v>-1063.6300000000001</v>
          </cell>
          <cell r="Z165">
            <v>-1132.17</v>
          </cell>
          <cell r="AA165">
            <v>-1219.05</v>
          </cell>
          <cell r="AB165">
            <v>-862.83</v>
          </cell>
          <cell r="AC165">
            <v>-834.62</v>
          </cell>
          <cell r="AD165">
            <v>-916.78</v>
          </cell>
          <cell r="AE165">
            <v>-837.3</v>
          </cell>
          <cell r="AF165">
            <v>-770.09</v>
          </cell>
          <cell r="AG165">
            <v>-966.7</v>
          </cell>
          <cell r="AH165">
            <v>-855.88</v>
          </cell>
          <cell r="AJ165">
            <v>-1205.95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J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</row>
        <row r="170">
          <cell r="J170">
            <v>23121699.089999992</v>
          </cell>
          <cell r="K170">
            <v>19441920.659999996</v>
          </cell>
          <cell r="L170">
            <v>23739543.969999999</v>
          </cell>
          <cell r="M170">
            <v>25867345.999999996</v>
          </cell>
          <cell r="N170">
            <v>29467193.240000002</v>
          </cell>
          <cell r="O170">
            <v>34725724.880000003</v>
          </cell>
          <cell r="P170">
            <v>16552651.890000001</v>
          </cell>
          <cell r="Q170">
            <v>13023557.59</v>
          </cell>
          <cell r="R170">
            <v>12832951.08</v>
          </cell>
          <cell r="S170">
            <v>18184412.57</v>
          </cell>
          <cell r="T170">
            <v>19114647.600000001</v>
          </cell>
          <cell r="U170">
            <v>19387020.339999992</v>
          </cell>
          <cell r="V170">
            <v>14208586.760000002</v>
          </cell>
          <cell r="W170">
            <v>11566044.800000003</v>
          </cell>
          <cell r="X170">
            <v>13388114.300000003</v>
          </cell>
          <cell r="Y170">
            <v>15181125.819999997</v>
          </cell>
          <cell r="Z170">
            <v>16680712.439999998</v>
          </cell>
          <cell r="AA170">
            <v>19081695.280000001</v>
          </cell>
          <cell r="AB170">
            <v>14902619.4</v>
          </cell>
          <cell r="AC170">
            <v>11268616.27</v>
          </cell>
          <cell r="AD170">
            <v>11646112.510000002</v>
          </cell>
          <cell r="AE170">
            <v>15212528.77</v>
          </cell>
          <cell r="AF170">
            <v>17598417.469999999</v>
          </cell>
          <cell r="AG170">
            <v>16698081.120000001</v>
          </cell>
          <cell r="AH170">
            <v>13347568.710000001</v>
          </cell>
          <cell r="AJ170">
            <v>19441920.659999996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8765590.6999999993</v>
          </cell>
          <cell r="Q171">
            <v>6617874.0299999993</v>
          </cell>
          <cell r="R171">
            <v>5697108.2300000004</v>
          </cell>
          <cell r="S171">
            <v>7561886.7100000009</v>
          </cell>
          <cell r="T171">
            <v>7956582.2899999991</v>
          </cell>
          <cell r="U171">
            <v>8159870.0800000019</v>
          </cell>
          <cell r="V171">
            <v>6239529.0099999998</v>
          </cell>
          <cell r="W171">
            <v>5298028.68</v>
          </cell>
          <cell r="X171">
            <v>6909235.2700000014</v>
          </cell>
          <cell r="Y171">
            <v>8261500.7299999986</v>
          </cell>
          <cell r="Z171">
            <v>9174045.3299999982</v>
          </cell>
          <cell r="AA171">
            <v>10655488.980000002</v>
          </cell>
          <cell r="AB171">
            <v>7785103.7800000003</v>
          </cell>
          <cell r="AC171">
            <v>5752188.6499999985</v>
          </cell>
          <cell r="AD171">
            <v>5307237.6500000004</v>
          </cell>
          <cell r="AE171">
            <v>6362870.6099999994</v>
          </cell>
          <cell r="AF171">
            <v>7291937.21</v>
          </cell>
          <cell r="AG171">
            <v>7003354.0199999996</v>
          </cell>
          <cell r="AH171">
            <v>5812305.0500000007</v>
          </cell>
          <cell r="AJ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2502775.4500000002</v>
          </cell>
          <cell r="Q172">
            <v>2227054.39</v>
          </cell>
          <cell r="R172">
            <v>2356701.8199999998</v>
          </cell>
          <cell r="S172">
            <v>2706600.69</v>
          </cell>
          <cell r="T172">
            <v>2591459.9</v>
          </cell>
          <cell r="U172">
            <v>2577954.7200000002</v>
          </cell>
          <cell r="V172">
            <v>2177425.16</v>
          </cell>
          <cell r="W172">
            <v>1971220.31</v>
          </cell>
          <cell r="X172">
            <v>2148090.0699999998</v>
          </cell>
          <cell r="Y172">
            <v>2267147.87</v>
          </cell>
          <cell r="Z172">
            <v>2369016.62</v>
          </cell>
          <cell r="AA172">
            <v>2558973.16</v>
          </cell>
          <cell r="AB172">
            <v>2226866.04</v>
          </cell>
          <cell r="AC172">
            <v>2016405.27</v>
          </cell>
          <cell r="AD172">
            <v>2047709.34</v>
          </cell>
          <cell r="AE172">
            <v>2326530.4700000002</v>
          </cell>
          <cell r="AF172">
            <v>2351385.77</v>
          </cell>
          <cell r="AG172">
            <v>2277872.91</v>
          </cell>
          <cell r="AH172">
            <v>2061675.59</v>
          </cell>
          <cell r="AJ172">
            <v>0</v>
          </cell>
        </row>
        <row r="173">
          <cell r="J173">
            <v>18837242.680000003</v>
          </cell>
          <cell r="K173">
            <v>16949647.720000003</v>
          </cell>
          <cell r="L173">
            <v>16507728.340000002</v>
          </cell>
          <cell r="M173">
            <v>16686696.65</v>
          </cell>
          <cell r="N173">
            <v>17741014.390000001</v>
          </cell>
          <cell r="O173">
            <v>18424935</v>
          </cell>
          <cell r="P173">
            <v>13748218.759999998</v>
          </cell>
          <cell r="Q173">
            <v>12788009.390000001</v>
          </cell>
          <cell r="R173">
            <v>14410445.190000001</v>
          </cell>
          <cell r="S173">
            <v>16766103.459999999</v>
          </cell>
          <cell r="T173">
            <v>16035641.890000001</v>
          </cell>
          <cell r="U173">
            <v>16323202.34</v>
          </cell>
          <cell r="V173">
            <v>13620233.329999998</v>
          </cell>
          <cell r="W173">
            <v>12370348.969999999</v>
          </cell>
          <cell r="X173">
            <v>12213092.84</v>
          </cell>
          <cell r="Y173">
            <v>12260649.920000002</v>
          </cell>
          <cell r="Z173">
            <v>12506954.120000001</v>
          </cell>
          <cell r="AA173">
            <v>13005635.330000002</v>
          </cell>
          <cell r="AB173">
            <v>12869112.990000002</v>
          </cell>
          <cell r="AC173">
            <v>11889107.130000001</v>
          </cell>
          <cell r="AD173">
            <v>12566378.09</v>
          </cell>
          <cell r="AE173">
            <v>14454566.779999999</v>
          </cell>
          <cell r="AF173">
            <v>14826679.73</v>
          </cell>
          <cell r="AG173">
            <v>14590107.020000001</v>
          </cell>
          <cell r="AH173">
            <v>13453537.700000001</v>
          </cell>
          <cell r="AJ173">
            <v>16949647.720000003</v>
          </cell>
        </row>
        <row r="174">
          <cell r="J174">
            <v>17529008.829999998</v>
          </cell>
          <cell r="K174">
            <v>16950657.98</v>
          </cell>
          <cell r="L174">
            <v>15988981.9</v>
          </cell>
          <cell r="M174">
            <v>15758997.17</v>
          </cell>
          <cell r="N174">
            <v>16082932.810000002</v>
          </cell>
          <cell r="O174">
            <v>15570040.59</v>
          </cell>
          <cell r="P174">
            <v>16319519.220000001</v>
          </cell>
          <cell r="Q174">
            <v>16578289.009999998</v>
          </cell>
          <cell r="R174">
            <v>17533585.250000004</v>
          </cell>
          <cell r="S174">
            <v>18933340.280000001</v>
          </cell>
          <cell r="T174">
            <v>16896136.930000003</v>
          </cell>
          <cell r="U174">
            <v>16974030.360000003</v>
          </cell>
          <cell r="V174">
            <v>15760500.34</v>
          </cell>
          <cell r="W174">
            <v>15844909.110000001</v>
          </cell>
          <cell r="X174">
            <v>15360579.309999999</v>
          </cell>
          <cell r="Y174">
            <v>14835621.149999999</v>
          </cell>
          <cell r="Z174">
            <v>14379233.809999999</v>
          </cell>
          <cell r="AA174">
            <v>14031885.729999999</v>
          </cell>
          <cell r="AB174">
            <v>14631662.499999998</v>
          </cell>
          <cell r="AC174">
            <v>14832115.319999998</v>
          </cell>
          <cell r="AD174">
            <v>15325915.130000001</v>
          </cell>
          <cell r="AE174">
            <v>15970657.799999999</v>
          </cell>
          <cell r="AF174">
            <v>15311303.23</v>
          </cell>
          <cell r="AG174">
            <v>15264739.050000001</v>
          </cell>
          <cell r="AH174">
            <v>15500114.25</v>
          </cell>
          <cell r="AJ174">
            <v>16950657.98</v>
          </cell>
        </row>
        <row r="175">
          <cell r="J175">
            <v>1916774.9100000001</v>
          </cell>
          <cell r="K175">
            <v>1890613.58</v>
          </cell>
          <cell r="L175">
            <v>1955003.38</v>
          </cell>
          <cell r="M175">
            <v>1993100.39</v>
          </cell>
          <cell r="N175">
            <v>2031364.61</v>
          </cell>
          <cell r="O175">
            <v>2021278.72</v>
          </cell>
          <cell r="P175">
            <v>1867140.39</v>
          </cell>
          <cell r="Q175">
            <v>1870386.42</v>
          </cell>
          <cell r="R175">
            <v>1755339.68</v>
          </cell>
          <cell r="S175">
            <v>1908190.71</v>
          </cell>
          <cell r="T175">
            <v>1735911.09</v>
          </cell>
          <cell r="U175">
            <v>1600616.48</v>
          </cell>
          <cell r="V175">
            <v>1675291.57</v>
          </cell>
          <cell r="W175">
            <v>1656483.36</v>
          </cell>
          <cell r="X175">
            <v>1783025.82</v>
          </cell>
          <cell r="Y175">
            <v>1862132.49</v>
          </cell>
          <cell r="Z175">
            <v>1780109.78</v>
          </cell>
          <cell r="AA175">
            <v>1858592.06</v>
          </cell>
          <cell r="AB175">
            <v>1685175.18</v>
          </cell>
          <cell r="AC175">
            <v>1668712.52</v>
          </cell>
          <cell r="AD175">
            <v>1535452.46</v>
          </cell>
          <cell r="AE175">
            <v>1598028.25</v>
          </cell>
          <cell r="AF175">
            <v>1545247.46</v>
          </cell>
          <cell r="AG175">
            <v>1376495.72</v>
          </cell>
          <cell r="AH175">
            <v>1567808.54</v>
          </cell>
          <cell r="AJ175">
            <v>1890613.58</v>
          </cell>
        </row>
        <row r="176">
          <cell r="J176">
            <v>785732.02</v>
          </cell>
          <cell r="K176">
            <v>700288.34</v>
          </cell>
          <cell r="L176">
            <v>731624.14</v>
          </cell>
          <cell r="M176">
            <v>679867.64</v>
          </cell>
          <cell r="N176">
            <v>767529.05</v>
          </cell>
          <cell r="O176">
            <v>666617.06999999995</v>
          </cell>
          <cell r="P176">
            <v>700227.12</v>
          </cell>
          <cell r="Q176">
            <v>688583.81</v>
          </cell>
          <cell r="R176">
            <v>684460.63</v>
          </cell>
          <cell r="S176">
            <v>691643.23</v>
          </cell>
          <cell r="T176">
            <v>646054.80000000005</v>
          </cell>
          <cell r="U176">
            <v>676183.91</v>
          </cell>
          <cell r="V176">
            <v>626962.64</v>
          </cell>
          <cell r="W176">
            <v>596565.19999999995</v>
          </cell>
          <cell r="X176">
            <v>616647.31000000006</v>
          </cell>
          <cell r="Y176">
            <v>622329.35</v>
          </cell>
          <cell r="Z176">
            <v>623998.5</v>
          </cell>
          <cell r="AA176">
            <v>574199</v>
          </cell>
          <cell r="AB176">
            <v>661971.44999999995</v>
          </cell>
          <cell r="AC176">
            <v>634135.22</v>
          </cell>
          <cell r="AD176">
            <v>616382.74</v>
          </cell>
          <cell r="AE176">
            <v>601275.56999999995</v>
          </cell>
          <cell r="AF176">
            <v>586879.85</v>
          </cell>
          <cell r="AG176">
            <v>602050.65</v>
          </cell>
          <cell r="AH176">
            <v>620077.15</v>
          </cell>
          <cell r="AJ176">
            <v>700288.34</v>
          </cell>
        </row>
        <row r="177">
          <cell r="J177">
            <v>5351810.3400000008</v>
          </cell>
          <cell r="K177">
            <v>5005684.34</v>
          </cell>
          <cell r="L177">
            <v>4739050.3099999996</v>
          </cell>
          <cell r="M177">
            <v>4682393.9400000004</v>
          </cell>
          <cell r="N177">
            <v>5067668.2699999996</v>
          </cell>
          <cell r="O177">
            <v>5081379.78</v>
          </cell>
          <cell r="P177">
            <v>4626654.09</v>
          </cell>
          <cell r="Q177">
            <v>4400441.75</v>
          </cell>
          <cell r="R177">
            <v>5138748.3499999996</v>
          </cell>
          <cell r="S177">
            <v>6130773.0999999996</v>
          </cell>
          <cell r="T177">
            <v>5422370.7400000002</v>
          </cell>
          <cell r="U177">
            <v>5367021.6900000004</v>
          </cell>
          <cell r="V177">
            <v>4682974.9800000004</v>
          </cell>
          <cell r="W177">
            <v>4337773.04</v>
          </cell>
          <cell r="X177">
            <v>4265424.37</v>
          </cell>
          <cell r="Y177">
            <v>4309387.51</v>
          </cell>
          <cell r="Z177">
            <v>4301710.01</v>
          </cell>
          <cell r="AA177">
            <v>4283912.8499999996</v>
          </cell>
          <cell r="AB177">
            <v>4413717.1500000004</v>
          </cell>
          <cell r="AC177">
            <v>4084823.94</v>
          </cell>
          <cell r="AD177">
            <v>4515562.75</v>
          </cell>
          <cell r="AE177">
            <v>5329209.13</v>
          </cell>
          <cell r="AF177">
            <v>5000303.78</v>
          </cell>
          <cell r="AG177">
            <v>4825054.1399999997</v>
          </cell>
          <cell r="AH177">
            <v>4512716.7699999996</v>
          </cell>
          <cell r="AJ177">
            <v>5005684.34</v>
          </cell>
        </row>
        <row r="178">
          <cell r="J178">
            <v>319905.90999999997</v>
          </cell>
          <cell r="K178">
            <v>291394.5</v>
          </cell>
          <cell r="L178">
            <v>293997.95</v>
          </cell>
          <cell r="M178">
            <v>291202.65999999997</v>
          </cell>
          <cell r="N178">
            <v>307132.87</v>
          </cell>
          <cell r="O178">
            <v>314534.89</v>
          </cell>
          <cell r="P178">
            <v>301376.31</v>
          </cell>
          <cell r="Q178">
            <v>281826.96000000002</v>
          </cell>
          <cell r="R178">
            <v>304568.14</v>
          </cell>
          <cell r="S178">
            <v>328918.71999999997</v>
          </cell>
          <cell r="T178">
            <v>301436.79999999999</v>
          </cell>
          <cell r="U178">
            <v>321792.81</v>
          </cell>
          <cell r="V178">
            <v>277970.03999999998</v>
          </cell>
          <cell r="W178">
            <v>267866.18</v>
          </cell>
          <cell r="X178">
            <v>276904.12</v>
          </cell>
          <cell r="Y178">
            <v>280466.42</v>
          </cell>
          <cell r="Z178">
            <v>289915.34000000003</v>
          </cell>
          <cell r="AA178">
            <v>302968.21999999997</v>
          </cell>
          <cell r="AB178">
            <v>292944.61</v>
          </cell>
          <cell r="AC178">
            <v>270510</v>
          </cell>
          <cell r="AD178">
            <v>276777.48</v>
          </cell>
          <cell r="AE178">
            <v>292722.59999999998</v>
          </cell>
          <cell r="AF178">
            <v>280603.92</v>
          </cell>
          <cell r="AG178">
            <v>306740.3</v>
          </cell>
          <cell r="AH178">
            <v>277600.13</v>
          </cell>
          <cell r="AJ178">
            <v>291394.5</v>
          </cell>
        </row>
        <row r="179">
          <cell r="J179">
            <v>6905422.75</v>
          </cell>
          <cell r="K179">
            <v>5950548.6600000001</v>
          </cell>
          <cell r="L179">
            <v>5045984.87</v>
          </cell>
          <cell r="M179">
            <v>5222517.6900000004</v>
          </cell>
          <cell r="N179">
            <v>5558027.7599999998</v>
          </cell>
          <cell r="O179">
            <v>5846160.8400000008</v>
          </cell>
          <cell r="P179">
            <v>5287845.87</v>
          </cell>
          <cell r="Q179">
            <v>4736324.04</v>
          </cell>
          <cell r="R179">
            <v>5660471.4199999999</v>
          </cell>
          <cell r="S179">
            <v>6016975.9400000004</v>
          </cell>
          <cell r="T179">
            <v>7176112.8799999999</v>
          </cell>
          <cell r="U179">
            <v>7186713.8499999996</v>
          </cell>
          <cell r="V179">
            <v>6328445.3600000003</v>
          </cell>
          <cell r="W179">
            <v>5763876.7400000002</v>
          </cell>
          <cell r="X179">
            <v>4784124.8499999996</v>
          </cell>
          <cell r="Y179">
            <v>5222912.53</v>
          </cell>
          <cell r="Z179">
            <v>4901201.96</v>
          </cell>
          <cell r="AA179">
            <v>5628014.4199999999</v>
          </cell>
          <cell r="AB179">
            <v>5161907.57</v>
          </cell>
          <cell r="AC179">
            <v>4605360.55</v>
          </cell>
          <cell r="AD179">
            <v>5221239.04</v>
          </cell>
          <cell r="AE179">
            <v>5429329.6200000001</v>
          </cell>
          <cell r="AF179">
            <v>6697026.5800000001</v>
          </cell>
          <cell r="AG179">
            <v>6825939.6199999992</v>
          </cell>
          <cell r="AH179">
            <v>6042471.0300000003</v>
          </cell>
          <cell r="AJ179">
            <v>5950548.6600000001</v>
          </cell>
        </row>
        <row r="180">
          <cell r="J180">
            <v>1661976.46</v>
          </cell>
          <cell r="K180">
            <v>1082037.52</v>
          </cell>
          <cell r="L180">
            <v>867376.37</v>
          </cell>
          <cell r="M180">
            <v>3886078.71</v>
          </cell>
          <cell r="N180">
            <v>1137548.54</v>
          </cell>
          <cell r="O180">
            <v>3190285.6</v>
          </cell>
          <cell r="P180">
            <v>1207531.8700000001</v>
          </cell>
          <cell r="Q180">
            <v>854895.19</v>
          </cell>
          <cell r="R180">
            <v>2845605.73</v>
          </cell>
          <cell r="S180">
            <v>3172485.57</v>
          </cell>
          <cell r="T180">
            <v>2859405.5</v>
          </cell>
          <cell r="U180">
            <v>2459611.37</v>
          </cell>
          <cell r="V180">
            <v>2900618.45</v>
          </cell>
          <cell r="W180">
            <v>2426461.02</v>
          </cell>
          <cell r="X180">
            <v>195473.68</v>
          </cell>
          <cell r="Y180">
            <v>404761.65</v>
          </cell>
          <cell r="Z180">
            <v>332229.84999999998</v>
          </cell>
          <cell r="AA180">
            <v>1414278.93</v>
          </cell>
          <cell r="AB180">
            <v>6571678.71</v>
          </cell>
          <cell r="AC180">
            <v>5666536.9000000004</v>
          </cell>
          <cell r="AD180">
            <v>4186291</v>
          </cell>
          <cell r="AE180">
            <v>4915142.8499999996</v>
          </cell>
          <cell r="AF180">
            <v>4740956.63</v>
          </cell>
          <cell r="AG180">
            <v>5335694.2300000004</v>
          </cell>
          <cell r="AH180">
            <v>7478989.1500000004</v>
          </cell>
          <cell r="AJ180">
            <v>1082037.52</v>
          </cell>
        </row>
        <row r="181">
          <cell r="J181">
            <v>3277772.5</v>
          </cell>
          <cell r="K181">
            <v>3347838.7</v>
          </cell>
          <cell r="L181">
            <v>4597812.2</v>
          </cell>
          <cell r="M181">
            <v>6689749.7999999998</v>
          </cell>
          <cell r="N181">
            <v>6429160.2000000002</v>
          </cell>
          <cell r="O181">
            <v>7353810.5999999996</v>
          </cell>
          <cell r="P181">
            <v>4787488.5999999996</v>
          </cell>
          <cell r="Q181">
            <v>3523788.3</v>
          </cell>
          <cell r="R181">
            <v>3657755.8</v>
          </cell>
          <cell r="S181">
            <v>2485773.9</v>
          </cell>
          <cell r="T181">
            <v>1531847.5</v>
          </cell>
          <cell r="U181">
            <v>1760673.4</v>
          </cell>
          <cell r="V181">
            <v>1957478.7</v>
          </cell>
          <cell r="W181">
            <v>3320781.5</v>
          </cell>
          <cell r="X181">
            <v>987715.1</v>
          </cell>
          <cell r="Y181">
            <v>1851247</v>
          </cell>
          <cell r="Z181">
            <v>3216087.5</v>
          </cell>
          <cell r="AA181">
            <v>4784593</v>
          </cell>
          <cell r="AB181">
            <v>4288304.3</v>
          </cell>
          <cell r="AC181">
            <v>3092725.7</v>
          </cell>
          <cell r="AD181">
            <v>1908267.8</v>
          </cell>
          <cell r="AE181">
            <v>3157592.5</v>
          </cell>
          <cell r="AF181">
            <v>2629318.9</v>
          </cell>
          <cell r="AG181">
            <v>2995602.7</v>
          </cell>
          <cell r="AH181">
            <v>3570020.5</v>
          </cell>
          <cell r="AJ181">
            <v>3347838.7</v>
          </cell>
        </row>
        <row r="183">
          <cell r="J183">
            <v>748621.41</v>
          </cell>
          <cell r="K183">
            <v>872082.93</v>
          </cell>
          <cell r="L183">
            <v>715061.83</v>
          </cell>
          <cell r="M183">
            <v>824286.75</v>
          </cell>
          <cell r="N183">
            <v>736657.18</v>
          </cell>
          <cell r="O183">
            <v>799104.67</v>
          </cell>
          <cell r="P183">
            <v>13592.96</v>
          </cell>
          <cell r="Q183">
            <v>24186.560000000001</v>
          </cell>
          <cell r="R183">
            <v>24196.36</v>
          </cell>
          <cell r="S183">
            <v>29893.86</v>
          </cell>
          <cell r="T183">
            <v>-1255.3399999999999</v>
          </cell>
          <cell r="U183">
            <v>21224.18</v>
          </cell>
          <cell r="V183">
            <v>19703.32</v>
          </cell>
          <cell r="W183">
            <v>99989.42</v>
          </cell>
          <cell r="X183">
            <v>42389.06</v>
          </cell>
          <cell r="Y183">
            <v>24938.15</v>
          </cell>
          <cell r="Z183">
            <v>27220.78</v>
          </cell>
          <cell r="AA183">
            <v>35535.629999999997</v>
          </cell>
          <cell r="AB183">
            <v>1154586.79</v>
          </cell>
          <cell r="AC183">
            <v>954915.48</v>
          </cell>
          <cell r="AD183">
            <v>755405.71</v>
          </cell>
          <cell r="AE183">
            <v>1100029.57</v>
          </cell>
          <cell r="AF183">
            <v>1055087.44</v>
          </cell>
          <cell r="AG183">
            <v>1047373.96</v>
          </cell>
          <cell r="AH183">
            <v>1250298.4099999999</v>
          </cell>
          <cell r="AJ183">
            <v>872082.93</v>
          </cell>
        </row>
        <row r="184"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270000</v>
          </cell>
          <cell r="AC184">
            <v>270000</v>
          </cell>
          <cell r="AD184">
            <v>270000</v>
          </cell>
          <cell r="AE184">
            <v>270000</v>
          </cell>
          <cell r="AF184">
            <v>270000</v>
          </cell>
          <cell r="AG184">
            <v>270000</v>
          </cell>
          <cell r="AH184">
            <v>270000</v>
          </cell>
          <cell r="AJ184">
            <v>0</v>
          </cell>
        </row>
        <row r="186">
          <cell r="J186">
            <v>453639.21</v>
          </cell>
          <cell r="K186">
            <v>477137.5</v>
          </cell>
          <cell r="L186">
            <v>475663.03</v>
          </cell>
          <cell r="M186">
            <v>456540.07</v>
          </cell>
          <cell r="N186">
            <v>414321.11</v>
          </cell>
          <cell r="O186">
            <v>412852.3</v>
          </cell>
          <cell r="P186">
            <v>854671.23</v>
          </cell>
          <cell r="Q186">
            <v>1145881.78</v>
          </cell>
          <cell r="R186">
            <v>1044729.23</v>
          </cell>
          <cell r="S186">
            <v>1065261.1399999999</v>
          </cell>
          <cell r="T186">
            <v>628268.77</v>
          </cell>
          <cell r="U186">
            <v>867696.66</v>
          </cell>
          <cell r="V186">
            <v>1043053.26</v>
          </cell>
          <cell r="W186">
            <v>1260887.94</v>
          </cell>
          <cell r="X186">
            <v>870781.29</v>
          </cell>
          <cell r="Y186">
            <v>906320.94</v>
          </cell>
          <cell r="Z186">
            <v>912298.68</v>
          </cell>
          <cell r="AA186">
            <v>1089143.24</v>
          </cell>
          <cell r="AB186">
            <v>1125351.72</v>
          </cell>
          <cell r="AC186">
            <v>474933.24</v>
          </cell>
          <cell r="AD186">
            <v>478133.13</v>
          </cell>
          <cell r="AE186">
            <v>647241.44999999995</v>
          </cell>
          <cell r="AF186">
            <v>470144.78</v>
          </cell>
          <cell r="AG186">
            <v>475520.68</v>
          </cell>
          <cell r="AH186">
            <v>517686.11</v>
          </cell>
          <cell r="AJ186">
            <v>477137.5</v>
          </cell>
        </row>
        <row r="188">
          <cell r="J188">
            <v>24429864.309999999</v>
          </cell>
          <cell r="K188">
            <v>15769750.630000001</v>
          </cell>
          <cell r="L188">
            <v>-27183889.789999999</v>
          </cell>
          <cell r="M188">
            <v>681211.69</v>
          </cell>
          <cell r="N188">
            <v>-41548252.659999996</v>
          </cell>
          <cell r="O188">
            <v>-27839281.280000001</v>
          </cell>
          <cell r="P188">
            <v>39845051.590000004</v>
          </cell>
          <cell r="Q188">
            <v>25240248.879999999</v>
          </cell>
          <cell r="R188">
            <v>-13831776.050000001</v>
          </cell>
          <cell r="S188">
            <v>-58319134.539999999</v>
          </cell>
          <cell r="T188">
            <v>10308580.33</v>
          </cell>
          <cell r="U188">
            <v>31708881.780000001</v>
          </cell>
          <cell r="V188">
            <v>26350872.690000001</v>
          </cell>
          <cell r="W188">
            <v>5471390.2199999997</v>
          </cell>
          <cell r="X188">
            <v>-31387758.390000001</v>
          </cell>
          <cell r="Y188">
            <v>-21310240.52</v>
          </cell>
          <cell r="Z188">
            <v>-28586129.039999999</v>
          </cell>
          <cell r="AA188">
            <v>23148594.09</v>
          </cell>
          <cell r="AB188">
            <v>39649177.020000003</v>
          </cell>
          <cell r="AC188">
            <v>9036219.3599999994</v>
          </cell>
          <cell r="AD188">
            <v>-8854679.5500000007</v>
          </cell>
          <cell r="AE188">
            <v>-53693682.810000002</v>
          </cell>
          <cell r="AF188">
            <v>2415502.75</v>
          </cell>
          <cell r="AG188">
            <v>42060567.869999997</v>
          </cell>
          <cell r="AH188">
            <v>26864344.129999999</v>
          </cell>
          <cell r="AJ188">
            <v>15769750.630000001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25370112.129999999</v>
          </cell>
          <cell r="Q189">
            <v>22425720.02</v>
          </cell>
          <cell r="R189">
            <v>-1901697.62</v>
          </cell>
          <cell r="S189">
            <v>-24327042.559999999</v>
          </cell>
          <cell r="T189">
            <v>3386719.38</v>
          </cell>
          <cell r="U189">
            <v>10459687.09</v>
          </cell>
          <cell r="V189">
            <v>8902622.0700000003</v>
          </cell>
          <cell r="W189">
            <v>-5525334.3899999997</v>
          </cell>
          <cell r="X189">
            <v>-21512829.699999999</v>
          </cell>
          <cell r="Y189">
            <v>-13078017.43</v>
          </cell>
          <cell r="Z189">
            <v>-17800181.18</v>
          </cell>
          <cell r="AA189">
            <v>18373849.039999999</v>
          </cell>
          <cell r="AB189">
            <v>23708602.449999999</v>
          </cell>
          <cell r="AC189">
            <v>14554869.77</v>
          </cell>
          <cell r="AD189">
            <v>2851763.98</v>
          </cell>
          <cell r="AE189">
            <v>-21816016.879999999</v>
          </cell>
          <cell r="AF189">
            <v>-70472.44</v>
          </cell>
          <cell r="AG189">
            <v>14813302.380000001</v>
          </cell>
          <cell r="AH189">
            <v>8973207.1799999997</v>
          </cell>
          <cell r="AJ189">
            <v>0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2265084.11</v>
          </cell>
          <cell r="Q190">
            <v>2321938.04</v>
          </cell>
          <cell r="R190">
            <v>2260512.54</v>
          </cell>
          <cell r="S190">
            <v>-5659357.2800000003</v>
          </cell>
          <cell r="T190">
            <v>1878070.35</v>
          </cell>
          <cell r="U190">
            <v>466811.97</v>
          </cell>
          <cell r="V190">
            <v>1911469.49</v>
          </cell>
          <cell r="W190">
            <v>2487027.36</v>
          </cell>
          <cell r="X190">
            <v>-2765637.72</v>
          </cell>
          <cell r="Y190">
            <v>-1677887.12</v>
          </cell>
          <cell r="Z190">
            <v>-2344906.66</v>
          </cell>
          <cell r="AA190">
            <v>356926.63</v>
          </cell>
          <cell r="AB190">
            <v>359411.49</v>
          </cell>
          <cell r="AC190">
            <v>1663641.54</v>
          </cell>
          <cell r="AD190">
            <v>2264839.62</v>
          </cell>
          <cell r="AE190">
            <v>-3536895.96</v>
          </cell>
          <cell r="AF190">
            <v>-210739.93</v>
          </cell>
          <cell r="AG190">
            <v>2062365.07</v>
          </cell>
          <cell r="AH190">
            <v>2597851.81</v>
          </cell>
          <cell r="AJ190">
            <v>0</v>
          </cell>
        </row>
        <row r="191">
          <cell r="J191">
            <v>21691143.609999999</v>
          </cell>
          <cell r="K191">
            <v>14656861.91</v>
          </cell>
          <cell r="L191">
            <v>-19323074.039999999</v>
          </cell>
          <cell r="M191">
            <v>446286.01</v>
          </cell>
          <cell r="N191">
            <v>-25319764.579999998</v>
          </cell>
          <cell r="O191">
            <v>-15220044.75</v>
          </cell>
          <cell r="P191">
            <v>5376022.9800000004</v>
          </cell>
          <cell r="Q191">
            <v>6988512.0499999998</v>
          </cell>
          <cell r="R191">
            <v>14433358.51</v>
          </cell>
          <cell r="S191">
            <v>-40033182.090000004</v>
          </cell>
          <cell r="T191">
            <v>7351643.4800000004</v>
          </cell>
          <cell r="U191">
            <v>6810777.4500000002</v>
          </cell>
          <cell r="V191">
            <v>13040518.33</v>
          </cell>
          <cell r="W191">
            <v>31164198.629999999</v>
          </cell>
          <cell r="X191">
            <v>-10369257.93</v>
          </cell>
          <cell r="Y191">
            <v>-6550865.7999999998</v>
          </cell>
          <cell r="Z191">
            <v>-9769723.3200000003</v>
          </cell>
          <cell r="AA191">
            <v>-9254329.4100000001</v>
          </cell>
          <cell r="AB191">
            <v>-3879188.9</v>
          </cell>
          <cell r="AC191">
            <v>4027909.37</v>
          </cell>
          <cell r="AD191">
            <v>15352320.039999999</v>
          </cell>
          <cell r="AE191">
            <v>-27527205.829999998</v>
          </cell>
          <cell r="AF191">
            <v>-6640905.3600000003</v>
          </cell>
          <cell r="AG191">
            <v>13316602.99</v>
          </cell>
          <cell r="AH191">
            <v>22106059.440000001</v>
          </cell>
          <cell r="AJ191">
            <v>14656861.91</v>
          </cell>
        </row>
        <row r="192">
          <cell r="J192">
            <v>26308966.780000001</v>
          </cell>
          <cell r="K192">
            <v>19807534.170000002</v>
          </cell>
          <cell r="L192">
            <v>-25343209.850000001</v>
          </cell>
          <cell r="M192">
            <v>572179.29</v>
          </cell>
          <cell r="N192">
            <v>-30713604.629999999</v>
          </cell>
          <cell r="O192">
            <v>-16700633.07</v>
          </cell>
          <cell r="P192">
            <v>-14007908.51</v>
          </cell>
          <cell r="Q192">
            <v>32091873.859999999</v>
          </cell>
          <cell r="R192">
            <v>39683356.219999999</v>
          </cell>
          <cell r="S192">
            <v>-42236452.18</v>
          </cell>
          <cell r="T192">
            <v>16016819.08</v>
          </cell>
          <cell r="U192">
            <v>-18076838.359999999</v>
          </cell>
          <cell r="V192">
            <v>-3565749.24</v>
          </cell>
          <cell r="W192">
            <v>50892851.600000001</v>
          </cell>
          <cell r="X192">
            <v>-7721026.54</v>
          </cell>
          <cell r="Y192">
            <v>-1671722.45</v>
          </cell>
          <cell r="Z192">
            <v>5390085.0099999998</v>
          </cell>
          <cell r="AA192">
            <v>-36343412.07</v>
          </cell>
          <cell r="AB192">
            <v>-23587998.52</v>
          </cell>
          <cell r="AC192">
            <v>9141191.8499999996</v>
          </cell>
          <cell r="AD192">
            <v>41481693.119999997</v>
          </cell>
          <cell r="AE192">
            <v>-20602494.579999998</v>
          </cell>
          <cell r="AF192">
            <v>-1720755.46</v>
          </cell>
          <cell r="AG192">
            <v>-9071355.2300000004</v>
          </cell>
          <cell r="AH192">
            <v>6996556.2599999998</v>
          </cell>
          <cell r="AJ192">
            <v>19807534.170000002</v>
          </cell>
        </row>
        <row r="193">
          <cell r="J193">
            <v>2789990.36</v>
          </cell>
          <cell r="K193">
            <v>2137497.9300000002</v>
          </cell>
          <cell r="L193">
            <v>-3124246.61</v>
          </cell>
          <cell r="M193">
            <v>74096.19</v>
          </cell>
          <cell r="N193">
            <v>-3989139.4</v>
          </cell>
          <cell r="O193">
            <v>-2280661.52</v>
          </cell>
          <cell r="P193">
            <v>-1349069.83</v>
          </cell>
          <cell r="Q193">
            <v>6212280.9299999997</v>
          </cell>
          <cell r="R193">
            <v>5392621.4800000004</v>
          </cell>
          <cell r="S193">
            <v>-5147449.93</v>
          </cell>
          <cell r="T193">
            <v>3772113.66</v>
          </cell>
          <cell r="U193">
            <v>-4591851.71</v>
          </cell>
          <cell r="V193">
            <v>-137950.15</v>
          </cell>
          <cell r="W193">
            <v>2588681.23</v>
          </cell>
          <cell r="X193">
            <v>-3027353</v>
          </cell>
          <cell r="Y193">
            <v>-70657.63</v>
          </cell>
          <cell r="Z193">
            <v>-1106255.02</v>
          </cell>
          <cell r="AA193">
            <v>-1963895.73</v>
          </cell>
          <cell r="AB193">
            <v>-2886445.95</v>
          </cell>
          <cell r="AC193">
            <v>4451734.8499999996</v>
          </cell>
          <cell r="AD193">
            <v>5650611.6699999999</v>
          </cell>
          <cell r="AE193">
            <v>-2307907.73</v>
          </cell>
          <cell r="AF193">
            <v>2146453</v>
          </cell>
          <cell r="AG193">
            <v>-4403820.37</v>
          </cell>
          <cell r="AH193">
            <v>1620944.23</v>
          </cell>
          <cell r="AJ193">
            <v>2137497.9300000002</v>
          </cell>
        </row>
        <row r="194">
          <cell r="J194">
            <v>248412.55</v>
          </cell>
          <cell r="K194">
            <v>189422.67</v>
          </cell>
          <cell r="L194">
            <v>-279087.21000000002</v>
          </cell>
          <cell r="M194">
            <v>6956.37</v>
          </cell>
          <cell r="N194">
            <v>-372626.91</v>
          </cell>
          <cell r="O194">
            <v>-235061.79</v>
          </cell>
          <cell r="P194">
            <v>79712.179999999993</v>
          </cell>
          <cell r="Q194">
            <v>575559.37</v>
          </cell>
          <cell r="R194">
            <v>801618.95</v>
          </cell>
          <cell r="S194">
            <v>-338770.27</v>
          </cell>
          <cell r="T194">
            <v>188062.88</v>
          </cell>
          <cell r="U194">
            <v>-55517.38</v>
          </cell>
          <cell r="V194">
            <v>-103787.87</v>
          </cell>
          <cell r="W194">
            <v>244079.98</v>
          </cell>
          <cell r="X194">
            <v>-412920.57</v>
          </cell>
          <cell r="Y194">
            <v>-10257.07</v>
          </cell>
          <cell r="Z194">
            <v>-208453.74</v>
          </cell>
          <cell r="AA194">
            <v>-572618.80000000005</v>
          </cell>
          <cell r="AB194">
            <v>-10.119999999999999</v>
          </cell>
          <cell r="AC194">
            <v>551599.4</v>
          </cell>
          <cell r="AD194">
            <v>1078423.05</v>
          </cell>
          <cell r="AE194">
            <v>-120065.65</v>
          </cell>
          <cell r="AF194">
            <v>-2646.82</v>
          </cell>
          <cell r="AG194">
            <v>-11558.74</v>
          </cell>
          <cell r="AH194">
            <v>49513.3</v>
          </cell>
          <cell r="AJ194">
            <v>189422.67</v>
          </cell>
        </row>
        <row r="195">
          <cell r="J195">
            <v>7313270.0300000003</v>
          </cell>
          <cell r="K195">
            <v>5125733.18</v>
          </cell>
          <cell r="L195">
            <v>-6591502.2999999998</v>
          </cell>
          <cell r="M195">
            <v>149063.29</v>
          </cell>
          <cell r="N195">
            <v>-8514374.3599999994</v>
          </cell>
          <cell r="O195">
            <v>-4841305.04</v>
          </cell>
          <cell r="P195">
            <v>1743352.51</v>
          </cell>
          <cell r="Q195">
            <v>1223805.23</v>
          </cell>
          <cell r="R195">
            <v>3474837.84</v>
          </cell>
          <cell r="S195">
            <v>-10652855.119999999</v>
          </cell>
          <cell r="T195">
            <v>3234052.03</v>
          </cell>
          <cell r="U195">
            <v>1179256.03</v>
          </cell>
          <cell r="V195">
            <v>4019070.98</v>
          </cell>
          <cell r="W195">
            <v>12162543.34</v>
          </cell>
          <cell r="X195">
            <v>-4744615.83</v>
          </cell>
          <cell r="Y195">
            <v>-1904723.66</v>
          </cell>
          <cell r="Z195">
            <v>-897164.34</v>
          </cell>
          <cell r="AA195">
            <v>-5384893.1799999997</v>
          </cell>
          <cell r="AB195">
            <v>-497555.38</v>
          </cell>
          <cell r="AC195">
            <v>-1710542.96</v>
          </cell>
          <cell r="AD195">
            <v>3791041.45</v>
          </cell>
          <cell r="AE195">
            <v>-3648049.9</v>
          </cell>
          <cell r="AF195">
            <v>-2644271.87</v>
          </cell>
          <cell r="AG195">
            <v>5023925.5</v>
          </cell>
          <cell r="AH195">
            <v>4448307.07</v>
          </cell>
          <cell r="AJ195">
            <v>5125733.18</v>
          </cell>
        </row>
        <row r="196">
          <cell r="J196">
            <v>427108.7</v>
          </cell>
          <cell r="K196">
            <v>292554.76</v>
          </cell>
          <cell r="L196">
            <v>-414199.01</v>
          </cell>
          <cell r="M196">
            <v>9355.91</v>
          </cell>
          <cell r="N196">
            <v>-530477.38</v>
          </cell>
          <cell r="O196">
            <v>-316043.81</v>
          </cell>
          <cell r="P196">
            <v>146570.35</v>
          </cell>
          <cell r="Q196">
            <v>337541.55</v>
          </cell>
          <cell r="R196">
            <v>547061.82999999996</v>
          </cell>
          <cell r="S196">
            <v>-710504.84</v>
          </cell>
          <cell r="T196">
            <v>-13994.08</v>
          </cell>
          <cell r="U196">
            <v>21945.200000000001</v>
          </cell>
          <cell r="V196">
            <v>121170.72</v>
          </cell>
          <cell r="W196">
            <v>542701.79</v>
          </cell>
          <cell r="X196">
            <v>-251529.3</v>
          </cell>
          <cell r="Y196">
            <v>-200792</v>
          </cell>
          <cell r="Z196">
            <v>-240013.75</v>
          </cell>
          <cell r="AA196">
            <v>-83313.89</v>
          </cell>
          <cell r="AB196">
            <v>-77019.83</v>
          </cell>
          <cell r="AC196">
            <v>261781.29</v>
          </cell>
          <cell r="AD196">
            <v>715300.78</v>
          </cell>
          <cell r="AE196">
            <v>-339935.59</v>
          </cell>
          <cell r="AF196">
            <v>-589454.29</v>
          </cell>
          <cell r="AG196">
            <v>370781.64</v>
          </cell>
          <cell r="AH196">
            <v>251268.37</v>
          </cell>
          <cell r="AJ196">
            <v>292554.76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J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J199">
            <v>0</v>
          </cell>
        </row>
        <row r="201">
          <cell r="J201">
            <v>992468.09</v>
          </cell>
          <cell r="K201">
            <v>1022709.1</v>
          </cell>
          <cell r="L201">
            <v>-1212003.95</v>
          </cell>
          <cell r="M201">
            <v>137325.04999999999</v>
          </cell>
          <cell r="N201">
            <v>-1812528.29</v>
          </cell>
          <cell r="O201">
            <v>-1554994.63</v>
          </cell>
          <cell r="P201">
            <v>1723346.89</v>
          </cell>
          <cell r="Q201">
            <v>754015.53</v>
          </cell>
          <cell r="R201">
            <v>-928894.46</v>
          </cell>
          <cell r="S201">
            <v>-2543848.0099999998</v>
          </cell>
          <cell r="T201">
            <v>764937.53</v>
          </cell>
          <cell r="U201">
            <v>1514690.08</v>
          </cell>
          <cell r="V201">
            <v>1037148.22</v>
          </cell>
          <cell r="W201">
            <v>83155.94</v>
          </cell>
          <cell r="X201">
            <v>-1376122.94</v>
          </cell>
          <cell r="Y201">
            <v>-782641.22</v>
          </cell>
          <cell r="Z201">
            <v>-1003989.59</v>
          </cell>
          <cell r="AA201">
            <v>1198252.6200000001</v>
          </cell>
          <cell r="AB201">
            <v>1446010.68</v>
          </cell>
          <cell r="AC201">
            <v>87144.54</v>
          </cell>
          <cell r="AD201">
            <v>-515840.76</v>
          </cell>
          <cell r="AE201">
            <v>-2179717.8199999998</v>
          </cell>
          <cell r="AF201">
            <v>294116.05</v>
          </cell>
          <cell r="AG201">
            <v>1882516.34</v>
          </cell>
          <cell r="AH201">
            <v>1028492.19</v>
          </cell>
          <cell r="AJ201">
            <v>1022709.1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1063981.6100000001</v>
          </cell>
          <cell r="Q202">
            <v>791291.83</v>
          </cell>
          <cell r="R202">
            <v>-256565.53</v>
          </cell>
          <cell r="S202">
            <v>-1083856.8</v>
          </cell>
          <cell r="T202">
            <v>270746.28000000003</v>
          </cell>
          <cell r="U202">
            <v>506946.71</v>
          </cell>
          <cell r="V202">
            <v>337449.23</v>
          </cell>
          <cell r="W202">
            <v>-327587.38</v>
          </cell>
          <cell r="X202">
            <v>-866603.45</v>
          </cell>
          <cell r="Y202">
            <v>-450184.05</v>
          </cell>
          <cell r="Z202">
            <v>-613311.56000000006</v>
          </cell>
          <cell r="AA202">
            <v>862817.11</v>
          </cell>
          <cell r="AB202">
            <v>866136.65</v>
          </cell>
          <cell r="AC202">
            <v>474306.73</v>
          </cell>
          <cell r="AD202">
            <v>40777.18</v>
          </cell>
          <cell r="AE202">
            <v>-904925.64</v>
          </cell>
          <cell r="AF202">
            <v>72779.399999999994</v>
          </cell>
          <cell r="AG202">
            <v>656177.67000000004</v>
          </cell>
          <cell r="AH202">
            <v>327562.02</v>
          </cell>
          <cell r="AJ202">
            <v>0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107821.7</v>
          </cell>
          <cell r="Q203">
            <v>68441.23</v>
          </cell>
          <cell r="R203">
            <v>88503.53</v>
          </cell>
          <cell r="S203">
            <v>-260849.29</v>
          </cell>
          <cell r="T203">
            <v>122807</v>
          </cell>
          <cell r="U203">
            <v>25476.92</v>
          </cell>
          <cell r="V203">
            <v>89288.29</v>
          </cell>
          <cell r="W203">
            <v>91381.47</v>
          </cell>
          <cell r="X203">
            <v>-142430.92000000001</v>
          </cell>
          <cell r="Y203">
            <v>-74785.58</v>
          </cell>
          <cell r="Z203">
            <v>-81443.490000000005</v>
          </cell>
          <cell r="AA203">
            <v>46423.72</v>
          </cell>
          <cell r="AB203">
            <v>-9567.75</v>
          </cell>
          <cell r="AC203">
            <v>49473.279999999999</v>
          </cell>
          <cell r="AD203">
            <v>107938.78</v>
          </cell>
          <cell r="AE203">
            <v>-139305.01999999999</v>
          </cell>
          <cell r="AF203">
            <v>4734.38</v>
          </cell>
          <cell r="AG203">
            <v>92656.21</v>
          </cell>
          <cell r="AH203">
            <v>111692.96</v>
          </cell>
          <cell r="AJ203">
            <v>0</v>
          </cell>
        </row>
        <row r="204">
          <cell r="J204">
            <v>613980.61</v>
          </cell>
          <cell r="K204">
            <v>574554.71</v>
          </cell>
          <cell r="L204">
            <v>-890714.5</v>
          </cell>
          <cell r="M204">
            <v>87375.91</v>
          </cell>
          <cell r="N204">
            <v>-886840.99</v>
          </cell>
          <cell r="O204">
            <v>-1930028.92</v>
          </cell>
          <cell r="P204">
            <v>191547.94</v>
          </cell>
          <cell r="Q204">
            <v>117100.4</v>
          </cell>
          <cell r="R204">
            <v>450966.04</v>
          </cell>
          <cell r="S204">
            <v>-1638970.03</v>
          </cell>
          <cell r="T204">
            <v>519020.85</v>
          </cell>
          <cell r="U204">
            <v>401453.31</v>
          </cell>
          <cell r="V204">
            <v>502577.33</v>
          </cell>
          <cell r="W204">
            <v>1172199.51</v>
          </cell>
          <cell r="X204">
            <v>-532453.07999999996</v>
          </cell>
          <cell r="Y204">
            <v>-286979.61</v>
          </cell>
          <cell r="Z204">
            <v>-267727.21999999997</v>
          </cell>
          <cell r="AA204">
            <v>-185914.96</v>
          </cell>
          <cell r="AB204">
            <v>-393616.14</v>
          </cell>
          <cell r="AC204">
            <v>87260.160000000003</v>
          </cell>
          <cell r="AD204">
            <v>642873.1</v>
          </cell>
          <cell r="AE204">
            <v>-1008668.57</v>
          </cell>
          <cell r="AF204">
            <v>-201343.21</v>
          </cell>
          <cell r="AG204">
            <v>619633.42000000004</v>
          </cell>
          <cell r="AH204">
            <v>770862.21</v>
          </cell>
          <cell r="AJ204">
            <v>574554.71</v>
          </cell>
        </row>
        <row r="205">
          <cell r="J205">
            <v>755971.97</v>
          </cell>
          <cell r="K205">
            <v>522980.91</v>
          </cell>
          <cell r="L205">
            <v>-828162.43</v>
          </cell>
          <cell r="M205">
            <v>14716.44</v>
          </cell>
          <cell r="N205">
            <v>-1069814.01</v>
          </cell>
          <cell r="O205">
            <v>-843763.06</v>
          </cell>
          <cell r="P205">
            <v>-254584.35</v>
          </cell>
          <cell r="Q205">
            <v>851214.08</v>
          </cell>
          <cell r="R205">
            <v>997304.8</v>
          </cell>
          <cell r="S205">
            <v>-1440925.71</v>
          </cell>
          <cell r="T205">
            <v>832238.06</v>
          </cell>
          <cell r="U205">
            <v>-617176.86</v>
          </cell>
          <cell r="V205">
            <v>30349.32</v>
          </cell>
          <cell r="W205">
            <v>1506168.61</v>
          </cell>
          <cell r="X205">
            <v>-244638.87</v>
          </cell>
          <cell r="Y205">
            <v>-94362.28</v>
          </cell>
          <cell r="Z205">
            <v>429899.58</v>
          </cell>
          <cell r="AA205">
            <v>-1225430.3400000001</v>
          </cell>
          <cell r="AB205">
            <v>-779307.09</v>
          </cell>
          <cell r="AC205">
            <v>273801.53000000003</v>
          </cell>
          <cell r="AD205">
            <v>1313001.06</v>
          </cell>
          <cell r="AE205">
            <v>-688208.3</v>
          </cell>
          <cell r="AF205">
            <v>91413.42</v>
          </cell>
          <cell r="AG205">
            <v>-433782.33</v>
          </cell>
          <cell r="AH205">
            <v>204373.55</v>
          </cell>
          <cell r="AJ205">
            <v>522980.91</v>
          </cell>
        </row>
        <row r="206">
          <cell r="J206">
            <v>105129.15</v>
          </cell>
          <cell r="K206">
            <v>112505.42</v>
          </cell>
          <cell r="L206">
            <v>-105632.04</v>
          </cell>
          <cell r="M206">
            <v>-7348.84</v>
          </cell>
          <cell r="N206">
            <v>-139659.10999999999</v>
          </cell>
          <cell r="O206">
            <v>-138626.54</v>
          </cell>
          <cell r="P206">
            <v>-47201.919999999998</v>
          </cell>
          <cell r="Q206">
            <v>208757.26</v>
          </cell>
          <cell r="R206">
            <v>178004.49</v>
          </cell>
          <cell r="S206">
            <v>-241631.18</v>
          </cell>
          <cell r="T206">
            <v>192202.25</v>
          </cell>
          <cell r="U206">
            <v>-192895.15</v>
          </cell>
          <cell r="V206">
            <v>15812.65</v>
          </cell>
          <cell r="W206">
            <v>62417.85</v>
          </cell>
          <cell r="X206">
            <v>-77648.69</v>
          </cell>
          <cell r="Y206">
            <v>12919.44</v>
          </cell>
          <cell r="Z206">
            <v>-8133.49</v>
          </cell>
          <cell r="AA206">
            <v>-71669.070000000007</v>
          </cell>
          <cell r="AB206">
            <v>-142159.34</v>
          </cell>
          <cell r="AC206">
            <v>158858.92000000001</v>
          </cell>
          <cell r="AD206">
            <v>211217</v>
          </cell>
          <cell r="AE206">
            <v>-112005.11</v>
          </cell>
          <cell r="AF206">
            <v>100348.1</v>
          </cell>
          <cell r="AG206">
            <v>-184856.46</v>
          </cell>
          <cell r="AH206">
            <v>84815.99</v>
          </cell>
          <cell r="AJ206">
            <v>112505.42</v>
          </cell>
        </row>
        <row r="207">
          <cell r="J207">
            <v>78630.460000000006</v>
          </cell>
          <cell r="K207">
            <v>40307.46</v>
          </cell>
          <cell r="L207">
            <v>10783.58</v>
          </cell>
          <cell r="M207">
            <v>-35418.35</v>
          </cell>
          <cell r="N207">
            <v>35132.78</v>
          </cell>
          <cell r="O207">
            <v>-18660.150000000001</v>
          </cell>
          <cell r="P207">
            <v>12549.27</v>
          </cell>
          <cell r="Q207">
            <v>38896.559999999998</v>
          </cell>
          <cell r="R207">
            <v>77531.8</v>
          </cell>
          <cell r="S207">
            <v>-64201.53</v>
          </cell>
          <cell r="T207">
            <v>11983.72</v>
          </cell>
          <cell r="U207">
            <v>-23965.759999999998</v>
          </cell>
          <cell r="V207">
            <v>-37368.9</v>
          </cell>
          <cell r="W207">
            <v>52971.47</v>
          </cell>
          <cell r="X207">
            <v>-39489.68</v>
          </cell>
          <cell r="Y207">
            <v>29656.59</v>
          </cell>
          <cell r="Z207">
            <v>-26759.01</v>
          </cell>
          <cell r="AA207">
            <v>-11253.86</v>
          </cell>
          <cell r="AB207">
            <v>4386.79</v>
          </cell>
          <cell r="AC207">
            <v>30843.14</v>
          </cell>
          <cell r="AD207">
            <v>103358.76</v>
          </cell>
          <cell r="AE207">
            <v>-41886.22</v>
          </cell>
          <cell r="AF207">
            <v>-15078.6</v>
          </cell>
          <cell r="AG207">
            <v>-23664.54</v>
          </cell>
          <cell r="AH207">
            <v>-14056.8</v>
          </cell>
          <cell r="AJ207">
            <v>40307.46</v>
          </cell>
        </row>
        <row r="208">
          <cell r="J208">
            <v>186185</v>
          </cell>
          <cell r="K208">
            <v>179773.39</v>
          </cell>
          <cell r="L208">
            <v>-255510.21</v>
          </cell>
          <cell r="M208">
            <v>4333.92</v>
          </cell>
          <cell r="N208">
            <v>-319762.5</v>
          </cell>
          <cell r="O208">
            <v>-177120.08</v>
          </cell>
          <cell r="P208">
            <v>68308.27</v>
          </cell>
          <cell r="Q208">
            <v>-54934.07</v>
          </cell>
          <cell r="R208">
            <v>47481.02</v>
          </cell>
          <cell r="S208">
            <v>-333443.08</v>
          </cell>
          <cell r="T208">
            <v>174322.59</v>
          </cell>
          <cell r="U208">
            <v>128809.98</v>
          </cell>
          <cell r="V208">
            <v>96555.15</v>
          </cell>
          <cell r="W208">
            <v>405652.03</v>
          </cell>
          <cell r="X208">
            <v>-204920.85</v>
          </cell>
          <cell r="Y208">
            <v>-57650.31</v>
          </cell>
          <cell r="Z208">
            <v>37793.379999999997</v>
          </cell>
          <cell r="AA208">
            <v>-157325.85</v>
          </cell>
          <cell r="AB208">
            <v>-87179.79</v>
          </cell>
          <cell r="AC208">
            <v>-142849.16</v>
          </cell>
          <cell r="AD208">
            <v>144118.29999999999</v>
          </cell>
          <cell r="AE208">
            <v>-52464.959999999999</v>
          </cell>
          <cell r="AF208">
            <v>-105854.95</v>
          </cell>
          <cell r="AG208">
            <v>269136.28000000003</v>
          </cell>
          <cell r="AH208">
            <v>75199.48</v>
          </cell>
          <cell r="AJ208">
            <v>179773.39</v>
          </cell>
        </row>
        <row r="209">
          <cell r="J209">
            <v>10749.35</v>
          </cell>
          <cell r="K209">
            <v>13873.93</v>
          </cell>
          <cell r="L209">
            <v>-16268.66</v>
          </cell>
          <cell r="M209">
            <v>2611.92</v>
          </cell>
          <cell r="N209">
            <v>-15602.25</v>
          </cell>
          <cell r="O209">
            <v>-28057.34</v>
          </cell>
          <cell r="P209">
            <v>7178.74</v>
          </cell>
          <cell r="Q209">
            <v>8110.57</v>
          </cell>
          <cell r="R209">
            <v>17811.099999999999</v>
          </cell>
          <cell r="S209">
            <v>-26666.25</v>
          </cell>
          <cell r="T209">
            <v>3821.91</v>
          </cell>
          <cell r="U209">
            <v>3125.91</v>
          </cell>
          <cell r="V209">
            <v>4172.7700000000004</v>
          </cell>
          <cell r="W209">
            <v>16694.419999999998</v>
          </cell>
          <cell r="X209">
            <v>-9337.86</v>
          </cell>
          <cell r="Y209">
            <v>-9526.92</v>
          </cell>
          <cell r="Z209">
            <v>-6179.14</v>
          </cell>
          <cell r="AA209">
            <v>620.29</v>
          </cell>
          <cell r="AB209">
            <v>-5125.91</v>
          </cell>
          <cell r="AC209">
            <v>7421.94</v>
          </cell>
          <cell r="AD209">
            <v>27645.84</v>
          </cell>
          <cell r="AE209">
            <v>-10709.29</v>
          </cell>
          <cell r="AF209">
            <v>-20672.93</v>
          </cell>
          <cell r="AG209">
            <v>15323.38</v>
          </cell>
          <cell r="AH209">
            <v>6877.12</v>
          </cell>
          <cell r="AJ209">
            <v>13873.93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J210">
            <v>0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J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J212">
            <v>0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J214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J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J218">
            <v>0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J221">
            <v>0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J222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12598000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J224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2267791537.5700002</v>
          </cell>
          <cell r="Q226">
            <v>1967499913.9000001</v>
          </cell>
          <cell r="R226">
            <v>1990300889.75</v>
          </cell>
          <cell r="S226">
            <v>1986463315.24</v>
          </cell>
          <cell r="T226">
            <v>2170761144.6300001</v>
          </cell>
          <cell r="U226">
            <v>2168125375.25</v>
          </cell>
          <cell r="V226">
            <v>2026105664.25</v>
          </cell>
          <cell r="W226">
            <v>1954265390.9200001</v>
          </cell>
          <cell r="X226">
            <v>1606236217.6900001</v>
          </cell>
          <cell r="Y226">
            <v>1821300431.6300001</v>
          </cell>
          <cell r="Z226">
            <v>1999786686.54</v>
          </cell>
          <cell r="AA226">
            <v>2357052016.1999998</v>
          </cell>
          <cell r="AB226">
            <v>2348637744.5500002</v>
          </cell>
          <cell r="AC226">
            <v>2008674747.0899999</v>
          </cell>
          <cell r="AD226">
            <v>1888883716.1900001</v>
          </cell>
          <cell r="AE226">
            <v>2024327675.46</v>
          </cell>
          <cell r="AF226">
            <v>2258213062.23</v>
          </cell>
          <cell r="AG226">
            <v>2315774283.4699998</v>
          </cell>
          <cell r="AH226">
            <v>2225264495.8499999</v>
          </cell>
          <cell r="AJ226">
            <v>0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87571678.200000003</v>
          </cell>
          <cell r="Q227">
            <v>78490138.819999993</v>
          </cell>
          <cell r="R227">
            <v>76398536.030000001</v>
          </cell>
          <cell r="S227">
            <v>80195187.760000005</v>
          </cell>
          <cell r="T227">
            <v>92824456.75</v>
          </cell>
          <cell r="U227">
            <v>93357371.640000001</v>
          </cell>
          <cell r="V227">
            <v>84416894.819999993</v>
          </cell>
          <cell r="W227">
            <v>77301710.5</v>
          </cell>
          <cell r="X227">
            <v>70955916.689999998</v>
          </cell>
          <cell r="Y227">
            <v>77450769.810000002</v>
          </cell>
          <cell r="Z227">
            <v>82013807.900000006</v>
          </cell>
          <cell r="AA227">
            <v>82013807.900000006</v>
          </cell>
          <cell r="AB227">
            <v>109041000</v>
          </cell>
          <cell r="AC227">
            <v>93315000</v>
          </cell>
          <cell r="AD227">
            <v>89916000</v>
          </cell>
          <cell r="AE227">
            <v>97275000</v>
          </cell>
          <cell r="AF227">
            <v>108740000</v>
          </cell>
          <cell r="AG227">
            <v>119995000</v>
          </cell>
          <cell r="AH227">
            <v>100003000</v>
          </cell>
          <cell r="AJ227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109739867.69</v>
          </cell>
          <cell r="Q228">
            <v>88724989.409999996</v>
          </cell>
          <cell r="R228">
            <v>71961139.969999999</v>
          </cell>
          <cell r="S228">
            <v>63372074.719999999</v>
          </cell>
          <cell r="T228">
            <v>71151338.180000007</v>
          </cell>
          <cell r="U228">
            <v>70036204.420000002</v>
          </cell>
          <cell r="V228">
            <v>64338309.229999997</v>
          </cell>
          <cell r="W228">
            <v>66822999.060000002</v>
          </cell>
          <cell r="X228">
            <v>71792248.969999999</v>
          </cell>
          <cell r="Y228">
            <v>91085101.590000004</v>
          </cell>
          <cell r="Z228">
            <v>93516091.390000001</v>
          </cell>
          <cell r="AA228">
            <v>93516091.390000001</v>
          </cell>
          <cell r="AB228">
            <v>103544836.27</v>
          </cell>
          <cell r="AC228">
            <v>82446092.489999995</v>
          </cell>
          <cell r="AD228">
            <v>74061946.010000005</v>
          </cell>
          <cell r="AE228">
            <v>63075788.100000001</v>
          </cell>
          <cell r="AF228">
            <v>70111623.400000006</v>
          </cell>
          <cell r="AG228">
            <v>67125588.829999998</v>
          </cell>
          <cell r="AH228">
            <v>64921905.990000002</v>
          </cell>
          <cell r="AJ228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J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J233">
            <v>0</v>
          </cell>
        </row>
        <row r="234"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</row>
        <row r="235"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J235">
            <v>0</v>
          </cell>
        </row>
        <row r="236"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J236">
            <v>0</v>
          </cell>
        </row>
        <row r="237"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J237">
            <v>0</v>
          </cell>
        </row>
        <row r="238"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</row>
        <row r="239"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J239">
            <v>0</v>
          </cell>
        </row>
        <row r="240"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</row>
        <row r="241"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J241">
            <v>0</v>
          </cell>
        </row>
        <row r="243"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J243">
            <v>0</v>
          </cell>
        </row>
        <row r="244"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J244">
            <v>0</v>
          </cell>
        </row>
        <row r="245"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J245">
            <v>0</v>
          </cell>
        </row>
        <row r="246"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J246">
            <v>0</v>
          </cell>
        </row>
        <row r="247"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J247">
            <v>0</v>
          </cell>
        </row>
        <row r="248"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J248">
            <v>0</v>
          </cell>
        </row>
        <row r="249"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J249">
            <v>0</v>
          </cell>
        </row>
        <row r="250"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J250">
            <v>0</v>
          </cell>
        </row>
        <row r="251"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J251">
            <v>0</v>
          </cell>
        </row>
        <row r="252"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J252">
            <v>0</v>
          </cell>
        </row>
        <row r="253"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J253">
            <v>0</v>
          </cell>
        </row>
        <row r="254"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J254">
            <v>0</v>
          </cell>
        </row>
        <row r="256">
          <cell r="J256">
            <v>22682202.199999999</v>
          </cell>
          <cell r="K256">
            <v>23536609.100000001</v>
          </cell>
          <cell r="L256">
            <v>34557126</v>
          </cell>
          <cell r="M256">
            <v>38673608.399999999</v>
          </cell>
          <cell r="N256">
            <v>46001001.100000001</v>
          </cell>
          <cell r="O256">
            <v>56599201.100000001</v>
          </cell>
          <cell r="P256">
            <v>24268539.600000001</v>
          </cell>
          <cell r="Q256">
            <v>16106628.199999999</v>
          </cell>
          <cell r="R256">
            <v>11889854</v>
          </cell>
          <cell r="S256">
            <v>12421659.4</v>
          </cell>
          <cell r="T256">
            <v>13338279.4</v>
          </cell>
          <cell r="U256">
            <v>13677823.199999999</v>
          </cell>
          <cell r="V256">
            <v>10916709.9</v>
          </cell>
          <cell r="W256">
            <v>11844715.5</v>
          </cell>
          <cell r="X256">
            <v>17318571.399999999</v>
          </cell>
          <cell r="Y256">
            <v>22293856.100000001</v>
          </cell>
          <cell r="Z256">
            <v>24484778.5</v>
          </cell>
          <cell r="AA256">
            <v>30165005.100000001</v>
          </cell>
          <cell r="AB256">
            <v>22743858.699999999</v>
          </cell>
          <cell r="AC256">
            <v>14646482.800000001</v>
          </cell>
          <cell r="AD256">
            <v>12022023.699999999</v>
          </cell>
          <cell r="AE256">
            <v>11841886.300000001</v>
          </cell>
          <cell r="AF256">
            <v>13080196</v>
          </cell>
          <cell r="AG256">
            <v>12695306.6</v>
          </cell>
          <cell r="AH256">
            <v>11395703.800000001</v>
          </cell>
          <cell r="AJ256">
            <v>23536609.100000001</v>
          </cell>
        </row>
        <row r="257"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21756728.800000001</v>
          </cell>
          <cell r="Q257">
            <v>14851381.9</v>
          </cell>
          <cell r="R257">
            <v>10994785.1</v>
          </cell>
          <cell r="S257">
            <v>11413222.800000001</v>
          </cell>
          <cell r="T257">
            <v>12124208.1</v>
          </cell>
          <cell r="U257">
            <v>12558820.9</v>
          </cell>
          <cell r="V257">
            <v>10110751.800000001</v>
          </cell>
          <cell r="W257">
            <v>10955074</v>
          </cell>
          <cell r="X257">
            <v>16107482.1</v>
          </cell>
          <cell r="Y257">
            <v>20193869.699999999</v>
          </cell>
          <cell r="Z257">
            <v>22163305.800000001</v>
          </cell>
          <cell r="AA257">
            <v>27529797.600000001</v>
          </cell>
          <cell r="AB257">
            <v>19948317.100000001</v>
          </cell>
          <cell r="AC257">
            <v>13478321.9</v>
          </cell>
          <cell r="AD257">
            <v>11108859.199999999</v>
          </cell>
          <cell r="AE257">
            <v>10855516.199999999</v>
          </cell>
          <cell r="AF257">
            <v>11778383.1</v>
          </cell>
          <cell r="AG257">
            <v>11623157.4</v>
          </cell>
          <cell r="AH257">
            <v>10568770.1</v>
          </cell>
          <cell r="AJ257">
            <v>0</v>
          </cell>
        </row>
        <row r="258"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4672627.8</v>
          </cell>
          <cell r="Q258">
            <v>3390627.5</v>
          </cell>
          <cell r="R258">
            <v>3446426.4</v>
          </cell>
          <cell r="S258">
            <v>4029883.9</v>
          </cell>
          <cell r="T258">
            <v>3781578.5</v>
          </cell>
          <cell r="U258">
            <v>3950893.4</v>
          </cell>
          <cell r="V258">
            <v>3767581.5</v>
          </cell>
          <cell r="W258">
            <v>3331413.1</v>
          </cell>
          <cell r="X258">
            <v>3701127.2</v>
          </cell>
          <cell r="Y258">
            <v>3966842.1</v>
          </cell>
          <cell r="Z258">
            <v>4150010.5</v>
          </cell>
          <cell r="AA258">
            <v>4807305.0999999996</v>
          </cell>
          <cell r="AB258">
            <v>4448937.5</v>
          </cell>
          <cell r="AC258">
            <v>3009859.4</v>
          </cell>
          <cell r="AD258">
            <v>3241677.9</v>
          </cell>
          <cell r="AE258">
            <v>3689481.2</v>
          </cell>
          <cell r="AF258">
            <v>3667123.2</v>
          </cell>
          <cell r="AG258">
            <v>3719079</v>
          </cell>
          <cell r="AH258">
            <v>3447805.7</v>
          </cell>
          <cell r="AJ258">
            <v>0</v>
          </cell>
        </row>
        <row r="259">
          <cell r="J259">
            <v>14204034</v>
          </cell>
          <cell r="K259">
            <v>13282031.6</v>
          </cell>
          <cell r="L259">
            <v>14207166.300000001</v>
          </cell>
          <cell r="M259">
            <v>15058682.800000001</v>
          </cell>
          <cell r="N259">
            <v>16454689.800000001</v>
          </cell>
          <cell r="O259">
            <v>18839702.5</v>
          </cell>
          <cell r="P259">
            <v>11763086.699999999</v>
          </cell>
          <cell r="Q259">
            <v>9590917.3000000007</v>
          </cell>
          <cell r="R259">
            <v>9731487.8000000007</v>
          </cell>
          <cell r="S259">
            <v>11175103.300000001</v>
          </cell>
          <cell r="T259">
            <v>11111906.4</v>
          </cell>
          <cell r="U259">
            <v>11775028.4</v>
          </cell>
          <cell r="V259">
            <v>10513440.6</v>
          </cell>
          <cell r="W259">
            <v>9790090.1999999993</v>
          </cell>
          <cell r="X259">
            <v>10386306.699999999</v>
          </cell>
          <cell r="Y259">
            <v>11261042.4</v>
          </cell>
          <cell r="Z259">
            <v>11961338.300000001</v>
          </cell>
          <cell r="AA259">
            <v>14135332.5</v>
          </cell>
          <cell r="AB259">
            <v>10915329.1</v>
          </cell>
          <cell r="AC259">
            <v>9473663.1999999993</v>
          </cell>
          <cell r="AD259">
            <v>9245880.9000000004</v>
          </cell>
          <cell r="AE259">
            <v>10607283.6</v>
          </cell>
          <cell r="AF259">
            <v>11258562.199999999</v>
          </cell>
          <cell r="AG259">
            <v>11282430.4</v>
          </cell>
          <cell r="AH259">
            <v>9977769.9000000004</v>
          </cell>
          <cell r="AJ259">
            <v>13282031.6</v>
          </cell>
        </row>
        <row r="260">
          <cell r="J260">
            <v>3205567.5</v>
          </cell>
          <cell r="K260">
            <v>3253425.5</v>
          </cell>
          <cell r="L260">
            <v>3301599.4</v>
          </cell>
          <cell r="M260">
            <v>3340302.4</v>
          </cell>
          <cell r="N260">
            <v>3166920.1</v>
          </cell>
          <cell r="O260">
            <v>3444101.7</v>
          </cell>
          <cell r="P260">
            <v>3709904.1</v>
          </cell>
          <cell r="Q260">
            <v>3223695</v>
          </cell>
          <cell r="R260">
            <v>1481043.3</v>
          </cell>
          <cell r="S260">
            <v>2377171</v>
          </cell>
          <cell r="T260">
            <v>1816857.5</v>
          </cell>
          <cell r="U260">
            <v>3146092.4</v>
          </cell>
          <cell r="V260">
            <v>3007019.2</v>
          </cell>
          <cell r="W260">
            <v>2284728.7000000002</v>
          </cell>
          <cell r="X260">
            <v>2813922.3</v>
          </cell>
          <cell r="Y260">
            <v>2854355.2</v>
          </cell>
          <cell r="Z260">
            <v>3353082</v>
          </cell>
          <cell r="AA260">
            <v>3253421.3</v>
          </cell>
          <cell r="AB260">
            <v>4578309.2</v>
          </cell>
          <cell r="AC260">
            <v>3306456.2</v>
          </cell>
          <cell r="AD260">
            <v>1740036.6</v>
          </cell>
          <cell r="AE260">
            <v>2465111.2999999998</v>
          </cell>
          <cell r="AF260">
            <v>2883196.8</v>
          </cell>
          <cell r="AG260">
            <v>3568828.5</v>
          </cell>
          <cell r="AH260">
            <v>3896837.9</v>
          </cell>
          <cell r="AJ260">
            <v>3253425.5</v>
          </cell>
        </row>
        <row r="261">
          <cell r="J261">
            <v>16409117.800000001</v>
          </cell>
          <cell r="K261">
            <v>16120799.800000001</v>
          </cell>
          <cell r="L261">
            <v>17468045.800000001</v>
          </cell>
          <cell r="M261">
            <v>18398455.699999999</v>
          </cell>
          <cell r="N261">
            <v>19300740.399999999</v>
          </cell>
          <cell r="O261">
            <v>18591268.800000001</v>
          </cell>
          <cell r="P261">
            <v>19466412.399999999</v>
          </cell>
          <cell r="Q261">
            <v>18379769.5</v>
          </cell>
          <cell r="R261">
            <v>17880522.899999999</v>
          </cell>
          <cell r="S261">
            <v>18055827.199999999</v>
          </cell>
          <cell r="T261">
            <v>16818960.300000001</v>
          </cell>
          <cell r="U261">
            <v>15015802.300000001</v>
          </cell>
          <cell r="V261">
            <v>17103450.600000001</v>
          </cell>
          <cell r="W261">
            <v>17443617</v>
          </cell>
          <cell r="X261">
            <v>18439028.399999999</v>
          </cell>
          <cell r="Y261">
            <v>19568214.600000001</v>
          </cell>
          <cell r="Z261">
            <v>19660309.399999999</v>
          </cell>
          <cell r="AA261">
            <v>19526635.300000001</v>
          </cell>
          <cell r="AB261">
            <v>19303469.899999999</v>
          </cell>
          <cell r="AC261">
            <v>18097413.800000001</v>
          </cell>
          <cell r="AD261">
            <v>17749536.100000001</v>
          </cell>
          <cell r="AE261">
            <v>17337190.399999999</v>
          </cell>
          <cell r="AF261">
            <v>16844295.100000001</v>
          </cell>
          <cell r="AG261">
            <v>14637189.1</v>
          </cell>
          <cell r="AH261">
            <v>16736662.9</v>
          </cell>
          <cell r="AJ261">
            <v>16120799.800000001</v>
          </cell>
        </row>
        <row r="262">
          <cell r="J262">
            <v>209034.7</v>
          </cell>
          <cell r="K262">
            <v>222664.1</v>
          </cell>
          <cell r="L262">
            <v>242139.4</v>
          </cell>
          <cell r="M262">
            <v>278624.7</v>
          </cell>
          <cell r="N262">
            <v>264460.59999999998</v>
          </cell>
          <cell r="O262">
            <v>317613.5</v>
          </cell>
          <cell r="P262">
            <v>331975.3</v>
          </cell>
          <cell r="Q262">
            <v>307366.3</v>
          </cell>
          <cell r="R262">
            <v>290591.2</v>
          </cell>
          <cell r="S262">
            <v>261771</v>
          </cell>
          <cell r="T262">
            <v>235673.9</v>
          </cell>
          <cell r="U262">
            <v>221499.7</v>
          </cell>
          <cell r="V262">
            <v>206881.8</v>
          </cell>
          <cell r="W262">
            <v>221905.9</v>
          </cell>
          <cell r="X262">
            <v>239524.4</v>
          </cell>
          <cell r="Y262">
            <v>280005.59999999998</v>
          </cell>
          <cell r="Z262">
            <v>267066.5</v>
          </cell>
          <cell r="AA262">
            <v>316897.59999999998</v>
          </cell>
          <cell r="AB262">
            <v>330932.8</v>
          </cell>
          <cell r="AC262">
            <v>309623.5</v>
          </cell>
          <cell r="AD262">
            <v>288101.3</v>
          </cell>
          <cell r="AE262">
            <v>252559.9</v>
          </cell>
          <cell r="AF262">
            <v>240592.1</v>
          </cell>
          <cell r="AG262">
            <v>221284.4</v>
          </cell>
          <cell r="AH262">
            <v>201564.1</v>
          </cell>
          <cell r="AJ262">
            <v>222664.1</v>
          </cell>
        </row>
        <row r="263">
          <cell r="J263">
            <v>6145376.4000000004</v>
          </cell>
          <cell r="K263">
            <v>6288572.7000000002</v>
          </cell>
          <cell r="L263">
            <v>6688439.9000000004</v>
          </cell>
          <cell r="M263">
            <v>7838648.0999999996</v>
          </cell>
          <cell r="N263">
            <v>8771994.3000000007</v>
          </cell>
          <cell r="O263">
            <v>9445202.5999999996</v>
          </cell>
          <cell r="P263">
            <v>8171852.5999999996</v>
          </cell>
          <cell r="Q263">
            <v>6619561.5</v>
          </cell>
          <cell r="R263">
            <v>6032299.2000000002</v>
          </cell>
          <cell r="S263">
            <v>7109026.2999999998</v>
          </cell>
          <cell r="T263">
            <v>5696424.5</v>
          </cell>
          <cell r="U263">
            <v>5784811</v>
          </cell>
          <cell r="V263">
            <v>6286188</v>
          </cell>
          <cell r="W263">
            <v>6190122.0999999996</v>
          </cell>
          <cell r="X263">
            <v>6703383</v>
          </cell>
          <cell r="Y263">
            <v>7839876.2000000002</v>
          </cell>
          <cell r="Z263">
            <v>8331275.4000000004</v>
          </cell>
          <cell r="AA263">
            <v>9557583.6999999993</v>
          </cell>
          <cell r="AB263">
            <v>7009581.2999999998</v>
          </cell>
          <cell r="AC263">
            <v>6344099.7000000002</v>
          </cell>
          <cell r="AD263">
            <v>6025690.2999999998</v>
          </cell>
          <cell r="AE263">
            <v>6704971.5</v>
          </cell>
          <cell r="AF263">
            <v>5862144.2000000002</v>
          </cell>
          <cell r="AG263">
            <v>5467550.9000000004</v>
          </cell>
          <cell r="AH263">
            <v>5930915.7999999998</v>
          </cell>
          <cell r="AJ263">
            <v>6288572.7000000002</v>
          </cell>
        </row>
        <row r="264">
          <cell r="J264">
            <v>158910.1</v>
          </cell>
          <cell r="K264">
            <v>153884.9</v>
          </cell>
          <cell r="L264">
            <v>167467.6</v>
          </cell>
          <cell r="M264">
            <v>173250.3</v>
          </cell>
          <cell r="N264">
            <v>181524.6</v>
          </cell>
          <cell r="O264">
            <v>217568.2</v>
          </cell>
          <cell r="P264">
            <v>205641.5</v>
          </cell>
          <cell r="Q264">
            <v>167638.1</v>
          </cell>
          <cell r="R264">
            <v>172553.2</v>
          </cell>
          <cell r="S264">
            <v>171391.2</v>
          </cell>
          <cell r="T264">
            <v>159421.79999999999</v>
          </cell>
          <cell r="U264">
            <v>169329</v>
          </cell>
          <cell r="V264">
            <v>151335.4</v>
          </cell>
          <cell r="W264">
            <v>147095.1</v>
          </cell>
          <cell r="X264">
            <v>158984.29999999999</v>
          </cell>
          <cell r="Y264">
            <v>174089.7</v>
          </cell>
          <cell r="Z264">
            <v>175752.4</v>
          </cell>
          <cell r="AA264">
            <v>218015.1</v>
          </cell>
          <cell r="AB264">
            <v>188878.4</v>
          </cell>
          <cell r="AC264">
            <v>158317.4</v>
          </cell>
          <cell r="AD264">
            <v>168449.1</v>
          </cell>
          <cell r="AE264">
            <v>135951.6</v>
          </cell>
          <cell r="AF264">
            <v>138167.20000000001</v>
          </cell>
          <cell r="AG264">
            <v>143654.79999999999</v>
          </cell>
          <cell r="AH264">
            <v>140652.70000000001</v>
          </cell>
          <cell r="AJ264">
            <v>153884.9</v>
          </cell>
        </row>
        <row r="265"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J265">
            <v>0</v>
          </cell>
        </row>
        <row r="266"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J266">
            <v>0</v>
          </cell>
        </row>
        <row r="267"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J267">
            <v>0</v>
          </cell>
        </row>
        <row r="269">
          <cell r="J269">
            <v>1336163.2</v>
          </cell>
          <cell r="K269">
            <v>1366949.2</v>
          </cell>
          <cell r="L269">
            <v>1942878.1</v>
          </cell>
          <cell r="M269">
            <v>2087057</v>
          </cell>
          <cell r="N269">
            <v>2489027.2000000002</v>
          </cell>
          <cell r="O269">
            <v>2986527.4</v>
          </cell>
          <cell r="P269">
            <v>1167675.2</v>
          </cell>
          <cell r="Q269">
            <v>794919.9</v>
          </cell>
          <cell r="R269">
            <v>606329.4</v>
          </cell>
          <cell r="S269">
            <v>628174.19999999995</v>
          </cell>
          <cell r="T269">
            <v>671108.5</v>
          </cell>
          <cell r="U269">
            <v>691117.6</v>
          </cell>
          <cell r="V269">
            <v>557772.19999999995</v>
          </cell>
          <cell r="W269">
            <v>602575.6</v>
          </cell>
          <cell r="X269">
            <v>858129.1</v>
          </cell>
          <cell r="Y269">
            <v>1072682.8999999999</v>
          </cell>
          <cell r="Z269">
            <v>1160379.1000000001</v>
          </cell>
          <cell r="AA269">
            <v>1421670.6</v>
          </cell>
          <cell r="AB269">
            <v>1109098.5</v>
          </cell>
          <cell r="AC269">
            <v>737297.8</v>
          </cell>
          <cell r="AD269">
            <v>622209.69999999995</v>
          </cell>
          <cell r="AE269">
            <v>607530.69999999995</v>
          </cell>
          <cell r="AF269">
            <v>665229</v>
          </cell>
          <cell r="AG269">
            <v>647188.19999999995</v>
          </cell>
          <cell r="AH269">
            <v>590123.9</v>
          </cell>
          <cell r="AJ269">
            <v>1366949.2</v>
          </cell>
        </row>
        <row r="270"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1053333.2</v>
          </cell>
          <cell r="Q270">
            <v>737169.1</v>
          </cell>
          <cell r="R270">
            <v>564550.69999999995</v>
          </cell>
          <cell r="S270">
            <v>581537.80000000005</v>
          </cell>
          <cell r="T270">
            <v>615514.1</v>
          </cell>
          <cell r="U270">
            <v>639734.69999999995</v>
          </cell>
          <cell r="V270">
            <v>520523.2</v>
          </cell>
          <cell r="W270">
            <v>562306.80000000005</v>
          </cell>
          <cell r="X270">
            <v>801816.2</v>
          </cell>
          <cell r="Y270">
            <v>977144</v>
          </cell>
          <cell r="Z270">
            <v>1055401.1000000001</v>
          </cell>
          <cell r="AA270">
            <v>1301260.1000000001</v>
          </cell>
          <cell r="AB270">
            <v>978415.8</v>
          </cell>
          <cell r="AC270">
            <v>681180.8</v>
          </cell>
          <cell r="AD270">
            <v>578082.80000000005</v>
          </cell>
          <cell r="AE270">
            <v>560476.4</v>
          </cell>
          <cell r="AF270">
            <v>603270.1</v>
          </cell>
          <cell r="AG270">
            <v>597775.4</v>
          </cell>
          <cell r="AH270">
            <v>552324</v>
          </cell>
          <cell r="AJ270">
            <v>0</v>
          </cell>
        </row>
        <row r="271"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243266.5</v>
          </cell>
          <cell r="Q271">
            <v>185486.8</v>
          </cell>
          <cell r="R271">
            <v>184184.5</v>
          </cell>
          <cell r="S271">
            <v>208183.6</v>
          </cell>
          <cell r="T271">
            <v>199193.1</v>
          </cell>
          <cell r="U271">
            <v>206993.7</v>
          </cell>
          <cell r="V271">
            <v>203009.9</v>
          </cell>
          <cell r="W271">
            <v>177664.9</v>
          </cell>
          <cell r="X271">
            <v>197379</v>
          </cell>
          <cell r="Y271">
            <v>214709.3</v>
          </cell>
          <cell r="Z271">
            <v>218305.9</v>
          </cell>
          <cell r="AA271">
            <v>252210.8</v>
          </cell>
          <cell r="AB271">
            <v>235625.60000000001</v>
          </cell>
          <cell r="AC271">
            <v>163020.70000000001</v>
          </cell>
          <cell r="AD271">
            <v>174208.1</v>
          </cell>
          <cell r="AE271">
            <v>195599.7</v>
          </cell>
          <cell r="AF271">
            <v>191814.7</v>
          </cell>
          <cell r="AG271">
            <v>196214.8</v>
          </cell>
          <cell r="AH271">
            <v>184800.9</v>
          </cell>
          <cell r="AJ271">
            <v>0</v>
          </cell>
        </row>
        <row r="272">
          <cell r="J272">
            <v>831084.10000000009</v>
          </cell>
          <cell r="K272">
            <v>762858.2</v>
          </cell>
          <cell r="L272">
            <v>821852.3</v>
          </cell>
          <cell r="M272">
            <v>864353.6</v>
          </cell>
          <cell r="N272">
            <v>941074</v>
          </cell>
          <cell r="O272">
            <v>1040111.2</v>
          </cell>
          <cell r="P272">
            <v>584348.80000000005</v>
          </cell>
          <cell r="Q272">
            <v>485810.4</v>
          </cell>
          <cell r="R272">
            <v>481418.1</v>
          </cell>
          <cell r="S272">
            <v>553164.80000000005</v>
          </cell>
          <cell r="T272">
            <v>545096.5</v>
          </cell>
          <cell r="U272">
            <v>571476.5</v>
          </cell>
          <cell r="V272">
            <v>523844.7</v>
          </cell>
          <cell r="W272">
            <v>483762.3</v>
          </cell>
          <cell r="X272">
            <v>524906.6</v>
          </cell>
          <cell r="Y272">
            <v>572001.4</v>
          </cell>
          <cell r="Z272">
            <v>596365.30000000005</v>
          </cell>
          <cell r="AA272">
            <v>687758.3</v>
          </cell>
          <cell r="AB272">
            <v>542603</v>
          </cell>
          <cell r="AC272">
            <v>484001.4</v>
          </cell>
          <cell r="AD272">
            <v>463066.5</v>
          </cell>
          <cell r="AE272">
            <v>523042.9</v>
          </cell>
          <cell r="AF272">
            <v>556400.19999999995</v>
          </cell>
          <cell r="AG272">
            <v>552492.30000000005</v>
          </cell>
          <cell r="AH272">
            <v>490690.1</v>
          </cell>
          <cell r="AJ272">
            <v>762858.2</v>
          </cell>
        </row>
        <row r="273">
          <cell r="J273">
            <v>168847.09999999998</v>
          </cell>
          <cell r="K273">
            <v>170095.8</v>
          </cell>
          <cell r="L273">
            <v>177018.3</v>
          </cell>
          <cell r="M273">
            <v>171721.5</v>
          </cell>
          <cell r="N273">
            <v>162442.4</v>
          </cell>
          <cell r="O273">
            <v>169461.3</v>
          </cell>
          <cell r="P273">
            <v>166640.79999999999</v>
          </cell>
          <cell r="Q273">
            <v>145526.1</v>
          </cell>
          <cell r="R273">
            <v>67816.800000000003</v>
          </cell>
          <cell r="S273">
            <v>108898.9</v>
          </cell>
          <cell r="T273">
            <v>83106.399999999994</v>
          </cell>
          <cell r="U273">
            <v>141407.9</v>
          </cell>
          <cell r="V273">
            <v>135454.39999999999</v>
          </cell>
          <cell r="W273">
            <v>103492.2</v>
          </cell>
          <cell r="X273">
            <v>132406.29999999999</v>
          </cell>
          <cell r="Y273">
            <v>130411.7</v>
          </cell>
          <cell r="Z273">
            <v>149833.79999999999</v>
          </cell>
          <cell r="AA273">
            <v>141955.20000000001</v>
          </cell>
          <cell r="AB273">
            <v>207822.2</v>
          </cell>
          <cell r="AC273">
            <v>154569.60000000001</v>
          </cell>
          <cell r="AD273">
            <v>80807.399999999994</v>
          </cell>
          <cell r="AE273">
            <v>113307.5</v>
          </cell>
          <cell r="AF273">
            <v>133528.5</v>
          </cell>
          <cell r="AG273">
            <v>162951.9</v>
          </cell>
          <cell r="AH273">
            <v>179457.2</v>
          </cell>
          <cell r="AJ273">
            <v>170095.8</v>
          </cell>
        </row>
        <row r="274">
          <cell r="J274">
            <v>823865.70000000007</v>
          </cell>
          <cell r="K274">
            <v>784765.1</v>
          </cell>
          <cell r="L274">
            <v>841239.3</v>
          </cell>
          <cell r="M274">
            <v>861030.2</v>
          </cell>
          <cell r="N274">
            <v>904206.1</v>
          </cell>
          <cell r="O274">
            <v>853264.7</v>
          </cell>
          <cell r="P274">
            <v>790744.3</v>
          </cell>
          <cell r="Q274">
            <v>752776.8</v>
          </cell>
          <cell r="R274">
            <v>756096.7</v>
          </cell>
          <cell r="S274">
            <v>764893.1</v>
          </cell>
          <cell r="T274">
            <v>709572.9</v>
          </cell>
          <cell r="U274">
            <v>652378.69999999995</v>
          </cell>
          <cell r="V274">
            <v>728278.5</v>
          </cell>
          <cell r="W274">
            <v>727321.8</v>
          </cell>
          <cell r="X274">
            <v>767004.7</v>
          </cell>
          <cell r="Y274">
            <v>803837.1</v>
          </cell>
          <cell r="Z274">
            <v>791134.1</v>
          </cell>
          <cell r="AA274">
            <v>787416.4</v>
          </cell>
          <cell r="AB274">
            <v>807246.9</v>
          </cell>
          <cell r="AC274">
            <v>759972</v>
          </cell>
          <cell r="AD274">
            <v>771369.6</v>
          </cell>
          <cell r="AE274">
            <v>751822.4</v>
          </cell>
          <cell r="AF274">
            <v>722825.8</v>
          </cell>
          <cell r="AG274">
            <v>656812.4</v>
          </cell>
          <cell r="AH274">
            <v>715211.8</v>
          </cell>
          <cell r="AJ274">
            <v>784765.1</v>
          </cell>
        </row>
        <row r="275">
          <cell r="J275">
            <v>40320.400000000001</v>
          </cell>
          <cell r="K275">
            <v>39628.800000000003</v>
          </cell>
          <cell r="L275">
            <v>40467.9</v>
          </cell>
          <cell r="M275">
            <v>41030.400000000001</v>
          </cell>
          <cell r="N275">
            <v>39428.199999999997</v>
          </cell>
          <cell r="O275">
            <v>40625.699999999997</v>
          </cell>
          <cell r="P275">
            <v>40050</v>
          </cell>
          <cell r="Q275">
            <v>39554.6</v>
          </cell>
          <cell r="R275">
            <v>35636.9</v>
          </cell>
          <cell r="S275">
            <v>14672.3</v>
          </cell>
          <cell r="T275">
            <v>38934.9</v>
          </cell>
          <cell r="U275">
            <v>39825.599999999999</v>
          </cell>
          <cell r="V275">
            <v>38327.4</v>
          </cell>
          <cell r="W275">
            <v>37943.9</v>
          </cell>
          <cell r="X275">
            <v>38459.1</v>
          </cell>
          <cell r="Y275">
            <v>39632.1</v>
          </cell>
          <cell r="Z275">
            <v>38051.9</v>
          </cell>
          <cell r="AA275">
            <v>38768.9</v>
          </cell>
          <cell r="AB275">
            <v>34467</v>
          </cell>
          <cell r="AC275">
            <v>34640.800000000003</v>
          </cell>
          <cell r="AD275">
            <v>33775.300000000003</v>
          </cell>
          <cell r="AE275">
            <v>33686.800000000003</v>
          </cell>
          <cell r="AF275">
            <v>31710.9</v>
          </cell>
          <cell r="AG275">
            <v>32108.2</v>
          </cell>
          <cell r="AH275">
            <v>30977.9</v>
          </cell>
          <cell r="AJ275">
            <v>39628.800000000003</v>
          </cell>
        </row>
        <row r="276">
          <cell r="J276">
            <v>355510.6</v>
          </cell>
          <cell r="K276">
            <v>361578.5</v>
          </cell>
          <cell r="L276">
            <v>389226</v>
          </cell>
          <cell r="M276">
            <v>439771.8</v>
          </cell>
          <cell r="N276">
            <v>487524.9</v>
          </cell>
          <cell r="O276">
            <v>509014</v>
          </cell>
          <cell r="P276">
            <v>411569.7</v>
          </cell>
          <cell r="Q276">
            <v>342653.4</v>
          </cell>
          <cell r="R276">
            <v>317195.40000000002</v>
          </cell>
          <cell r="S276">
            <v>365613.4</v>
          </cell>
          <cell r="T276">
            <v>295998.5</v>
          </cell>
          <cell r="U276">
            <v>299274.8</v>
          </cell>
          <cell r="V276">
            <v>315711.8</v>
          </cell>
          <cell r="W276">
            <v>312681.7</v>
          </cell>
          <cell r="X276">
            <v>346108.4</v>
          </cell>
          <cell r="Y276">
            <v>394994</v>
          </cell>
          <cell r="Z276">
            <v>407977</v>
          </cell>
          <cell r="AA276">
            <v>461827.6</v>
          </cell>
          <cell r="AB276">
            <v>353335.3</v>
          </cell>
          <cell r="AC276">
            <v>329828.90000000002</v>
          </cell>
          <cell r="AD276">
            <v>309269.2</v>
          </cell>
          <cell r="AE276">
            <v>341117.2</v>
          </cell>
          <cell r="AF276">
            <v>305632.40000000002</v>
          </cell>
          <cell r="AG276">
            <v>282410</v>
          </cell>
          <cell r="AH276">
            <v>313014.59999999998</v>
          </cell>
          <cell r="AJ276">
            <v>361578.5</v>
          </cell>
        </row>
        <row r="277">
          <cell r="J277">
            <v>9462.3000000000011</v>
          </cell>
          <cell r="K277">
            <v>8995.7999999999993</v>
          </cell>
          <cell r="L277">
            <v>9590.7000000000007</v>
          </cell>
          <cell r="M277">
            <v>9826.1</v>
          </cell>
          <cell r="N277">
            <v>10126.1</v>
          </cell>
          <cell r="O277">
            <v>11592.9</v>
          </cell>
          <cell r="P277">
            <v>10366.200000000001</v>
          </cell>
          <cell r="Q277">
            <v>8818.4</v>
          </cell>
          <cell r="R277">
            <v>8972.4</v>
          </cell>
          <cell r="S277">
            <v>8687.4</v>
          </cell>
          <cell r="T277">
            <v>8131.3</v>
          </cell>
          <cell r="U277">
            <v>8515.6</v>
          </cell>
          <cell r="V277">
            <v>7857</v>
          </cell>
          <cell r="W277">
            <v>7571.4</v>
          </cell>
          <cell r="X277">
            <v>8061.6</v>
          </cell>
          <cell r="Y277">
            <v>8877.9</v>
          </cell>
          <cell r="Z277">
            <v>8642.7000000000007</v>
          </cell>
          <cell r="AA277">
            <v>10402.200000000001</v>
          </cell>
          <cell r="AB277">
            <v>8627.6</v>
          </cell>
          <cell r="AC277">
            <v>7270.3</v>
          </cell>
          <cell r="AD277">
            <v>7750.6</v>
          </cell>
          <cell r="AE277">
            <v>6155.4</v>
          </cell>
          <cell r="AF277">
            <v>6364</v>
          </cell>
          <cell r="AG277">
            <v>6569.5</v>
          </cell>
          <cell r="AH277">
            <v>6486.5</v>
          </cell>
          <cell r="AJ277">
            <v>8995.7999999999993</v>
          </cell>
        </row>
        <row r="278"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J278">
            <v>0</v>
          </cell>
        </row>
        <row r="279"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J279">
            <v>0</v>
          </cell>
        </row>
        <row r="280"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J280">
            <v>0</v>
          </cell>
        </row>
        <row r="282"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J282">
            <v>0</v>
          </cell>
        </row>
        <row r="283"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J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J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J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J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J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J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J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J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J293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J295">
            <v>0</v>
          </cell>
        </row>
        <row r="296"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J296">
            <v>0</v>
          </cell>
        </row>
        <row r="297"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J297">
            <v>0</v>
          </cell>
        </row>
        <row r="298"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J298">
            <v>0</v>
          </cell>
        </row>
        <row r="299"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J299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J300">
            <v>0</v>
          </cell>
        </row>
        <row r="301"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J301">
            <v>0</v>
          </cell>
        </row>
        <row r="302"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J302">
            <v>0</v>
          </cell>
        </row>
        <row r="303"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J303">
            <v>0</v>
          </cell>
        </row>
        <row r="304"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J304">
            <v>0</v>
          </cell>
        </row>
        <row r="305"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J305">
            <v>0</v>
          </cell>
        </row>
        <row r="306"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J306">
            <v>0</v>
          </cell>
        </row>
        <row r="308"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J308">
            <v>0</v>
          </cell>
        </row>
        <row r="309"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J309">
            <v>0</v>
          </cell>
        </row>
        <row r="310"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J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J311">
            <v>0</v>
          </cell>
        </row>
        <row r="312"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J312">
            <v>0</v>
          </cell>
        </row>
        <row r="313"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J313">
            <v>0</v>
          </cell>
        </row>
        <row r="314"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J314">
            <v>0</v>
          </cell>
        </row>
        <row r="315"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J315">
            <v>0</v>
          </cell>
        </row>
        <row r="316"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J316">
            <v>0</v>
          </cell>
        </row>
        <row r="317"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J317">
            <v>0</v>
          </cell>
        </row>
        <row r="318"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J318">
            <v>0</v>
          </cell>
        </row>
        <row r="319"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J319">
            <v>0</v>
          </cell>
        </row>
        <row r="321"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J321">
            <v>0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J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J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J324">
            <v>0</v>
          </cell>
        </row>
        <row r="325"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J325">
            <v>0</v>
          </cell>
        </row>
        <row r="326"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J326">
            <v>0</v>
          </cell>
        </row>
        <row r="327"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J327">
            <v>0</v>
          </cell>
        </row>
        <row r="328"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J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J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J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J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0</v>
          </cell>
        </row>
        <row r="334"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J334">
            <v>0</v>
          </cell>
        </row>
        <row r="335"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J335">
            <v>0</v>
          </cell>
        </row>
        <row r="336"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J336">
            <v>0</v>
          </cell>
        </row>
        <row r="337"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J337">
            <v>0</v>
          </cell>
        </row>
        <row r="338"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J338">
            <v>0</v>
          </cell>
        </row>
        <row r="339"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J339">
            <v>0</v>
          </cell>
        </row>
        <row r="340"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J340">
            <v>0</v>
          </cell>
        </row>
        <row r="341"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J341">
            <v>0</v>
          </cell>
        </row>
        <row r="342"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J342">
            <v>0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J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J344">
            <v>0</v>
          </cell>
        </row>
        <row r="345"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J345">
            <v>0</v>
          </cell>
        </row>
        <row r="347">
          <cell r="J347">
            <v>-39883.800000000003</v>
          </cell>
          <cell r="K347">
            <v>-41188</v>
          </cell>
          <cell r="L347">
            <v>-58257.2</v>
          </cell>
          <cell r="M347">
            <v>-62747.8</v>
          </cell>
          <cell r="N347">
            <v>-73101.2</v>
          </cell>
          <cell r="O347">
            <v>-89171.5</v>
          </cell>
          <cell r="P347">
            <v>-43744.5</v>
          </cell>
          <cell r="Q347">
            <v>-30028.400000000001</v>
          </cell>
          <cell r="R347">
            <v>-23141.200000000001</v>
          </cell>
          <cell r="S347">
            <v>-23913</v>
          </cell>
          <cell r="T347">
            <v>-25506.9</v>
          </cell>
          <cell r="U347">
            <v>-26302.2</v>
          </cell>
          <cell r="V347">
            <v>-21300.5</v>
          </cell>
          <cell r="W347">
            <v>-22980.9</v>
          </cell>
          <cell r="X347">
            <v>-32457.3</v>
          </cell>
          <cell r="Y347">
            <v>-40186</v>
          </cell>
          <cell r="Z347">
            <v>-43250.8</v>
          </cell>
          <cell r="AA347">
            <v>-52890</v>
          </cell>
          <cell r="AB347">
            <v>-27247.599999999999</v>
          </cell>
          <cell r="AC347">
            <v>-17546.8</v>
          </cell>
          <cell r="AD347">
            <v>-14402.6</v>
          </cell>
          <cell r="AE347">
            <v>-14186.8</v>
          </cell>
          <cell r="AF347">
            <v>-15670.3</v>
          </cell>
          <cell r="AG347">
            <v>-15209.2</v>
          </cell>
          <cell r="AH347">
            <v>-12535.3</v>
          </cell>
          <cell r="AJ347">
            <v>-41188</v>
          </cell>
        </row>
        <row r="348"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-39542</v>
          </cell>
          <cell r="Q348">
            <v>-27897.8</v>
          </cell>
          <cell r="R348">
            <v>-21592.1</v>
          </cell>
          <cell r="S348">
            <v>-22189.3</v>
          </cell>
          <cell r="T348">
            <v>-23459.3</v>
          </cell>
          <cell r="U348">
            <v>-24407.8</v>
          </cell>
          <cell r="V348">
            <v>-19924.099999999999</v>
          </cell>
          <cell r="W348">
            <v>-21503.9</v>
          </cell>
          <cell r="X348">
            <v>-30372.1</v>
          </cell>
          <cell r="Y348">
            <v>-36675.4</v>
          </cell>
          <cell r="Z348">
            <v>-39401.699999999997</v>
          </cell>
          <cell r="AA348">
            <v>-48458.6</v>
          </cell>
          <cell r="AB348">
            <v>-23898.5</v>
          </cell>
          <cell r="AC348">
            <v>-16147.3</v>
          </cell>
          <cell r="AD348">
            <v>-13308.6</v>
          </cell>
          <cell r="AE348">
            <v>-13005.1</v>
          </cell>
          <cell r="AF348">
            <v>-14110.7</v>
          </cell>
          <cell r="AG348">
            <v>-13924.8</v>
          </cell>
          <cell r="AH348">
            <v>-11625.6</v>
          </cell>
          <cell r="AJ348">
            <v>0</v>
          </cell>
        </row>
        <row r="349"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-9343.1</v>
          </cell>
          <cell r="Q349">
            <v>-7227.1</v>
          </cell>
          <cell r="R349">
            <v>-7128.6</v>
          </cell>
          <cell r="S349">
            <v>-7977</v>
          </cell>
          <cell r="T349">
            <v>-7677</v>
          </cell>
          <cell r="U349">
            <v>-7964.9</v>
          </cell>
          <cell r="V349">
            <v>-7875.9</v>
          </cell>
          <cell r="W349">
            <v>-6872.1</v>
          </cell>
          <cell r="X349">
            <v>-7634.6</v>
          </cell>
          <cell r="Y349">
            <v>-8340.5</v>
          </cell>
          <cell r="Z349">
            <v>-8410.2999999999993</v>
          </cell>
          <cell r="AA349">
            <v>-9708.7999999999993</v>
          </cell>
          <cell r="AB349">
            <v>-5329.9</v>
          </cell>
          <cell r="AC349">
            <v>-3605.9</v>
          </cell>
          <cell r="AD349">
            <v>-3883.6</v>
          </cell>
          <cell r="AE349">
            <v>-4420.1000000000004</v>
          </cell>
          <cell r="AF349">
            <v>-4393.3</v>
          </cell>
          <cell r="AG349">
            <v>-4455.5</v>
          </cell>
          <cell r="AH349">
            <v>-3792.6</v>
          </cell>
          <cell r="AJ349">
            <v>0</v>
          </cell>
        </row>
        <row r="350">
          <cell r="J350">
            <v>-24723.200000000001</v>
          </cell>
          <cell r="K350">
            <v>-22861.1</v>
          </cell>
          <cell r="L350">
            <v>-24984.6</v>
          </cell>
          <cell r="M350">
            <v>-26746.9</v>
          </cell>
          <cell r="N350">
            <v>-28419.9</v>
          </cell>
          <cell r="O350">
            <v>-31741.4</v>
          </cell>
          <cell r="P350">
            <v>-22120.1</v>
          </cell>
          <cell r="Q350">
            <v>-18502.900000000001</v>
          </cell>
          <cell r="R350">
            <v>-18199.5</v>
          </cell>
          <cell r="S350">
            <v>-20915.8</v>
          </cell>
          <cell r="T350">
            <v>-20551</v>
          </cell>
          <cell r="U350">
            <v>-21470.400000000001</v>
          </cell>
          <cell r="V350">
            <v>-19848.7</v>
          </cell>
          <cell r="W350">
            <v>-18281.400000000001</v>
          </cell>
          <cell r="X350">
            <v>-19977.900000000001</v>
          </cell>
          <cell r="Y350">
            <v>-21804.5</v>
          </cell>
          <cell r="Z350">
            <v>-22601.1</v>
          </cell>
          <cell r="AA350">
            <v>-25860.5</v>
          </cell>
          <cell r="AB350">
            <v>-13076.8</v>
          </cell>
          <cell r="AC350">
            <v>-11349.6</v>
          </cell>
          <cell r="AD350">
            <v>-11076.7</v>
          </cell>
          <cell r="AE350">
            <v>-12707.7</v>
          </cell>
          <cell r="AF350">
            <v>-13488</v>
          </cell>
          <cell r="AG350">
            <v>-13516.6</v>
          </cell>
          <cell r="AH350">
            <v>-10975.5</v>
          </cell>
          <cell r="AJ350">
            <v>-22861.1</v>
          </cell>
        </row>
        <row r="351">
          <cell r="J351">
            <v>-4741.8999999999996</v>
          </cell>
          <cell r="K351">
            <v>-4849.3</v>
          </cell>
          <cell r="L351">
            <v>-5180.7</v>
          </cell>
          <cell r="M351">
            <v>-5037.3</v>
          </cell>
          <cell r="N351">
            <v>-4633.6000000000004</v>
          </cell>
          <cell r="O351">
            <v>-4876.8999999999996</v>
          </cell>
          <cell r="P351">
            <v>-6095.2</v>
          </cell>
          <cell r="Q351">
            <v>-5332.6</v>
          </cell>
          <cell r="R351">
            <v>-2497.8000000000002</v>
          </cell>
          <cell r="S351">
            <v>-4011.5</v>
          </cell>
          <cell r="T351">
            <v>-3059.7</v>
          </cell>
          <cell r="U351">
            <v>-5173.5</v>
          </cell>
          <cell r="V351">
            <v>-4959.6000000000004</v>
          </cell>
          <cell r="W351">
            <v>-3797</v>
          </cell>
          <cell r="X351">
            <v>-4923.2</v>
          </cell>
          <cell r="Y351">
            <v>-4799.3999999999996</v>
          </cell>
          <cell r="Z351">
            <v>-5470.1</v>
          </cell>
          <cell r="AA351">
            <v>-5136.5</v>
          </cell>
          <cell r="AB351">
            <v>-5484.9</v>
          </cell>
          <cell r="AC351">
            <v>-3961.2</v>
          </cell>
          <cell r="AD351">
            <v>-2084.6</v>
          </cell>
          <cell r="AE351">
            <v>-2953.3</v>
          </cell>
          <cell r="AF351">
            <v>-3454.1</v>
          </cell>
          <cell r="AG351">
            <v>-4275.5</v>
          </cell>
          <cell r="AH351">
            <v>-4286.5</v>
          </cell>
          <cell r="AJ351">
            <v>-4849.3</v>
          </cell>
        </row>
        <row r="352">
          <cell r="J352">
            <v>-22462.7</v>
          </cell>
          <cell r="K352">
            <v>-21429.3</v>
          </cell>
          <cell r="L352">
            <v>-23142.9</v>
          </cell>
          <cell r="M352">
            <v>-23948.9</v>
          </cell>
          <cell r="N352">
            <v>-24398.9</v>
          </cell>
          <cell r="O352">
            <v>-23572.799999999999</v>
          </cell>
          <cell r="P352">
            <v>-27807.7</v>
          </cell>
          <cell r="Q352">
            <v>-26563.5</v>
          </cell>
          <cell r="R352">
            <v>-27028.2</v>
          </cell>
          <cell r="S352">
            <v>-27362.3</v>
          </cell>
          <cell r="T352">
            <v>-25342</v>
          </cell>
          <cell r="U352">
            <v>-23567.4</v>
          </cell>
          <cell r="V352">
            <v>-26105.200000000001</v>
          </cell>
          <cell r="W352">
            <v>-25853.7</v>
          </cell>
          <cell r="X352">
            <v>-27238.2</v>
          </cell>
          <cell r="Y352">
            <v>-28400.2</v>
          </cell>
          <cell r="Z352">
            <v>-27711</v>
          </cell>
          <cell r="AA352">
            <v>-27605.5</v>
          </cell>
          <cell r="AB352">
            <v>-23125.9</v>
          </cell>
          <cell r="AC352">
            <v>-21681.1</v>
          </cell>
          <cell r="AD352">
            <v>-21264.3</v>
          </cell>
          <cell r="AE352">
            <v>-20770.3</v>
          </cell>
          <cell r="AF352">
            <v>-20179.8</v>
          </cell>
          <cell r="AG352">
            <v>-17535.599999999999</v>
          </cell>
          <cell r="AH352">
            <v>-18410.3</v>
          </cell>
          <cell r="AJ352">
            <v>-21429.3</v>
          </cell>
        </row>
        <row r="353">
          <cell r="J353">
            <v>-1621.3</v>
          </cell>
          <cell r="K353">
            <v>-1584.7</v>
          </cell>
          <cell r="L353">
            <v>-1610.3</v>
          </cell>
          <cell r="M353">
            <v>-1615.7</v>
          </cell>
          <cell r="N353">
            <v>-1544.7</v>
          </cell>
          <cell r="O353">
            <v>-1568.8</v>
          </cell>
          <cell r="P353">
            <v>-1800.1</v>
          </cell>
          <cell r="Q353">
            <v>-1790.1</v>
          </cell>
          <cell r="R353">
            <v>-1604.6</v>
          </cell>
          <cell r="S353">
            <v>-575.5</v>
          </cell>
          <cell r="T353">
            <v>-1802.1</v>
          </cell>
          <cell r="U353">
            <v>-1855.1</v>
          </cell>
          <cell r="V353">
            <v>-1789</v>
          </cell>
          <cell r="W353">
            <v>-1760.9</v>
          </cell>
          <cell r="X353">
            <v>-1776.1</v>
          </cell>
          <cell r="Y353">
            <v>-1810.4</v>
          </cell>
          <cell r="Z353">
            <v>-1739.2</v>
          </cell>
          <cell r="AA353">
            <v>-1745.2</v>
          </cell>
          <cell r="AB353">
            <v>-396.5</v>
          </cell>
          <cell r="AC353">
            <v>-370.9</v>
          </cell>
          <cell r="AD353">
            <v>-345.2</v>
          </cell>
          <cell r="AE353">
            <v>-302.60000000000002</v>
          </cell>
          <cell r="AF353">
            <v>-288.2</v>
          </cell>
          <cell r="AG353">
            <v>-265.10000000000002</v>
          </cell>
          <cell r="AH353">
            <v>-221.7</v>
          </cell>
          <cell r="AJ353">
            <v>-1584.7</v>
          </cell>
        </row>
        <row r="354">
          <cell r="J354">
            <v>-10514.8</v>
          </cell>
          <cell r="K354">
            <v>-10841.5</v>
          </cell>
          <cell r="L354">
            <v>-11865.8</v>
          </cell>
          <cell r="M354">
            <v>-13468.1</v>
          </cell>
          <cell r="N354">
            <v>-14516.7</v>
          </cell>
          <cell r="O354">
            <v>-15356.5</v>
          </cell>
          <cell r="P354">
            <v>-15647.4</v>
          </cell>
          <cell r="Q354">
            <v>-13137.5</v>
          </cell>
          <cell r="R354">
            <v>-12218.6</v>
          </cell>
          <cell r="S354">
            <v>-13990.3</v>
          </cell>
          <cell r="T354">
            <v>-11361.8</v>
          </cell>
          <cell r="U354">
            <v>-11472.4</v>
          </cell>
          <cell r="V354">
            <v>-11992.5</v>
          </cell>
          <cell r="W354">
            <v>-11898.7</v>
          </cell>
          <cell r="X354">
            <v>-13259.7</v>
          </cell>
          <cell r="Y354">
            <v>-15018.9</v>
          </cell>
          <cell r="Z354">
            <v>-15372.6</v>
          </cell>
          <cell r="AA354">
            <v>-17325.900000000001</v>
          </cell>
          <cell r="AB354">
            <v>-8397.6</v>
          </cell>
          <cell r="AC354">
            <v>-7600.4</v>
          </cell>
          <cell r="AD354">
            <v>-7218.9</v>
          </cell>
          <cell r="AE354">
            <v>-8032.7</v>
          </cell>
          <cell r="AF354">
            <v>-7023</v>
          </cell>
          <cell r="AG354">
            <v>-6550.2</v>
          </cell>
          <cell r="AH354">
            <v>-6524</v>
          </cell>
          <cell r="AJ354">
            <v>-10841.5</v>
          </cell>
        </row>
        <row r="355">
          <cell r="J355">
            <v>-284</v>
          </cell>
          <cell r="K355">
            <v>-271.89999999999998</v>
          </cell>
          <cell r="L355">
            <v>-290.2</v>
          </cell>
          <cell r="M355">
            <v>-302.39999999999998</v>
          </cell>
          <cell r="N355">
            <v>-302.10000000000002</v>
          </cell>
          <cell r="O355">
            <v>-347.8</v>
          </cell>
          <cell r="P355">
            <v>-394.2</v>
          </cell>
          <cell r="Q355">
            <v>-339.7</v>
          </cell>
          <cell r="R355">
            <v>-344.5</v>
          </cell>
          <cell r="S355">
            <v>-330.9</v>
          </cell>
          <cell r="T355">
            <v>-310.39999999999998</v>
          </cell>
          <cell r="U355">
            <v>-323.60000000000002</v>
          </cell>
          <cell r="V355">
            <v>-301.5</v>
          </cell>
          <cell r="W355">
            <v>-289.8</v>
          </cell>
          <cell r="X355">
            <v>-307.10000000000002</v>
          </cell>
          <cell r="Y355">
            <v>-338.8</v>
          </cell>
          <cell r="Z355">
            <v>-326.10000000000002</v>
          </cell>
          <cell r="AA355">
            <v>-388.6</v>
          </cell>
          <cell r="AB355">
            <v>-226.3</v>
          </cell>
          <cell r="AC355">
            <v>-189.7</v>
          </cell>
          <cell r="AD355">
            <v>-201.8</v>
          </cell>
          <cell r="AE355">
            <v>-162.9</v>
          </cell>
          <cell r="AF355">
            <v>-165.5</v>
          </cell>
          <cell r="AG355">
            <v>-172.1</v>
          </cell>
          <cell r="AH355">
            <v>-154.69999999999999</v>
          </cell>
          <cell r="AJ355">
            <v>-271.89999999999998</v>
          </cell>
        </row>
        <row r="356"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J356">
            <v>0</v>
          </cell>
        </row>
        <row r="357"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J357">
            <v>0</v>
          </cell>
        </row>
        <row r="358"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J358">
            <v>0</v>
          </cell>
        </row>
        <row r="360"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J360">
            <v>0</v>
          </cell>
        </row>
        <row r="361"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J361">
            <v>0</v>
          </cell>
        </row>
        <row r="362"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J362">
            <v>0</v>
          </cell>
        </row>
        <row r="363"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J363">
            <v>0</v>
          </cell>
        </row>
        <row r="364"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J364">
            <v>0</v>
          </cell>
        </row>
        <row r="365"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J365">
            <v>0</v>
          </cell>
        </row>
        <row r="366"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J366">
            <v>0</v>
          </cell>
        </row>
        <row r="367"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J367">
            <v>0</v>
          </cell>
        </row>
        <row r="368"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J368">
            <v>0</v>
          </cell>
        </row>
        <row r="369"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J369">
            <v>0</v>
          </cell>
        </row>
        <row r="370"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J370">
            <v>0</v>
          </cell>
        </row>
        <row r="371"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J371">
            <v>0</v>
          </cell>
        </row>
        <row r="373"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J373">
            <v>0</v>
          </cell>
        </row>
        <row r="374"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J374">
            <v>0</v>
          </cell>
        </row>
        <row r="375"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J375">
            <v>0</v>
          </cell>
        </row>
        <row r="376"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J376">
            <v>0</v>
          </cell>
        </row>
        <row r="377"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J377">
            <v>0</v>
          </cell>
        </row>
        <row r="378"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J378">
            <v>0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J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J380">
            <v>0</v>
          </cell>
        </row>
        <row r="381"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J381">
            <v>0</v>
          </cell>
        </row>
        <row r="382"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J382">
            <v>0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J383">
            <v>0</v>
          </cell>
        </row>
        <row r="384"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J384">
            <v>0</v>
          </cell>
        </row>
        <row r="386">
          <cell r="J386">
            <v>1296279.3999999999</v>
          </cell>
          <cell r="K386">
            <v>1325761.2</v>
          </cell>
          <cell r="L386">
            <v>1884620.9</v>
          </cell>
          <cell r="M386">
            <v>2024309.2</v>
          </cell>
          <cell r="N386">
            <v>2415926</v>
          </cell>
          <cell r="O386">
            <v>2897355.9</v>
          </cell>
          <cell r="P386">
            <v>1123930.7</v>
          </cell>
          <cell r="Q386">
            <v>764891.5</v>
          </cell>
          <cell r="R386">
            <v>583188.19999999995</v>
          </cell>
          <cell r="S386">
            <v>604261.19999999995</v>
          </cell>
          <cell r="T386">
            <v>645601.6</v>
          </cell>
          <cell r="U386">
            <v>664815.4</v>
          </cell>
          <cell r="V386">
            <v>536471.69999999995</v>
          </cell>
          <cell r="W386">
            <v>579594.69999999995</v>
          </cell>
          <cell r="X386">
            <v>825671.8</v>
          </cell>
          <cell r="Y386">
            <v>1032496.9</v>
          </cell>
          <cell r="Z386">
            <v>1117128.3</v>
          </cell>
          <cell r="AA386">
            <v>1368780.6</v>
          </cell>
          <cell r="AB386">
            <v>1081850.8999999999</v>
          </cell>
          <cell r="AC386">
            <v>719751</v>
          </cell>
          <cell r="AD386">
            <v>607807.1</v>
          </cell>
          <cell r="AE386">
            <v>593343.9</v>
          </cell>
          <cell r="AF386">
            <v>649558.69999999995</v>
          </cell>
          <cell r="AG386">
            <v>631979</v>
          </cell>
          <cell r="AH386">
            <v>577588.6</v>
          </cell>
          <cell r="AJ386">
            <v>1325761.2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1013791.2</v>
          </cell>
          <cell r="Q387">
            <v>709271.3</v>
          </cell>
          <cell r="R387">
            <v>542958.6</v>
          </cell>
          <cell r="S387">
            <v>559348.5</v>
          </cell>
          <cell r="T387">
            <v>592054.80000000005</v>
          </cell>
          <cell r="U387">
            <v>615326.9</v>
          </cell>
          <cell r="V387">
            <v>500599.1</v>
          </cell>
          <cell r="W387">
            <v>540802.9</v>
          </cell>
          <cell r="X387">
            <v>771444.1</v>
          </cell>
          <cell r="Y387">
            <v>940468.6</v>
          </cell>
          <cell r="Z387">
            <v>1015999.4</v>
          </cell>
          <cell r="AA387">
            <v>1252801.5</v>
          </cell>
          <cell r="AB387">
            <v>954517.3</v>
          </cell>
          <cell r="AC387">
            <v>665033.5</v>
          </cell>
          <cell r="AD387">
            <v>564774.19999999995</v>
          </cell>
          <cell r="AE387">
            <v>547471.30000000005</v>
          </cell>
          <cell r="AF387">
            <v>589159.4</v>
          </cell>
          <cell r="AG387">
            <v>583850.6</v>
          </cell>
          <cell r="AH387">
            <v>540698.4</v>
          </cell>
          <cell r="AJ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233923.4</v>
          </cell>
          <cell r="Q388">
            <v>178259.7</v>
          </cell>
          <cell r="R388">
            <v>177055.9</v>
          </cell>
          <cell r="S388">
            <v>200206.6</v>
          </cell>
          <cell r="T388">
            <v>191516.1</v>
          </cell>
          <cell r="U388">
            <v>199028.8</v>
          </cell>
          <cell r="V388">
            <v>195134</v>
          </cell>
          <cell r="W388">
            <v>170792.8</v>
          </cell>
          <cell r="X388">
            <v>189744.4</v>
          </cell>
          <cell r="Y388">
            <v>206368.8</v>
          </cell>
          <cell r="Z388">
            <v>209895.6</v>
          </cell>
          <cell r="AA388">
            <v>242502</v>
          </cell>
          <cell r="AB388">
            <v>230295.7</v>
          </cell>
          <cell r="AC388">
            <v>159414.79999999999</v>
          </cell>
          <cell r="AD388">
            <v>170324.5</v>
          </cell>
          <cell r="AE388">
            <v>191179.6</v>
          </cell>
          <cell r="AF388">
            <v>187421.4</v>
          </cell>
          <cell r="AG388">
            <v>191759.3</v>
          </cell>
          <cell r="AH388">
            <v>181008.3</v>
          </cell>
          <cell r="AJ388">
            <v>0</v>
          </cell>
        </row>
        <row r="389">
          <cell r="J389">
            <v>806360.90000000014</v>
          </cell>
          <cell r="K389">
            <v>739997.1</v>
          </cell>
          <cell r="L389">
            <v>796867.7</v>
          </cell>
          <cell r="M389">
            <v>837606.7</v>
          </cell>
          <cell r="N389">
            <v>912654.1</v>
          </cell>
          <cell r="O389">
            <v>1008369.8</v>
          </cell>
          <cell r="P389">
            <v>562228.69999999995</v>
          </cell>
          <cell r="Q389">
            <v>467307.5</v>
          </cell>
          <cell r="R389">
            <v>463218.6</v>
          </cell>
          <cell r="S389">
            <v>532249</v>
          </cell>
          <cell r="T389">
            <v>524545.5</v>
          </cell>
          <cell r="U389">
            <v>550006.1</v>
          </cell>
          <cell r="V389">
            <v>503996</v>
          </cell>
          <cell r="W389">
            <v>465480.9</v>
          </cell>
          <cell r="X389">
            <v>504928.7</v>
          </cell>
          <cell r="Y389">
            <v>550196.9</v>
          </cell>
          <cell r="Z389">
            <v>573764.19999999995</v>
          </cell>
          <cell r="AA389">
            <v>661897.80000000005</v>
          </cell>
          <cell r="AB389">
            <v>529526.19999999995</v>
          </cell>
          <cell r="AC389">
            <v>472651.8</v>
          </cell>
          <cell r="AD389">
            <v>451989.8</v>
          </cell>
          <cell r="AE389">
            <v>510335.2</v>
          </cell>
          <cell r="AF389">
            <v>542912.19999999995</v>
          </cell>
          <cell r="AG389">
            <v>538975.69999999995</v>
          </cell>
          <cell r="AH389">
            <v>479714.6</v>
          </cell>
          <cell r="AJ389">
            <v>739997.1</v>
          </cell>
        </row>
        <row r="390">
          <cell r="J390">
            <v>164105.19999999998</v>
          </cell>
          <cell r="K390">
            <v>165246.5</v>
          </cell>
          <cell r="L390">
            <v>171837.6</v>
          </cell>
          <cell r="M390">
            <v>166684.20000000001</v>
          </cell>
          <cell r="N390">
            <v>157808.79999999999</v>
          </cell>
          <cell r="O390">
            <v>164584.4</v>
          </cell>
          <cell r="P390">
            <v>160545.60000000001</v>
          </cell>
          <cell r="Q390">
            <v>140193.5</v>
          </cell>
          <cell r="R390">
            <v>65319</v>
          </cell>
          <cell r="S390">
            <v>104887.4</v>
          </cell>
          <cell r="T390">
            <v>80046.7</v>
          </cell>
          <cell r="U390">
            <v>136234.4</v>
          </cell>
          <cell r="V390">
            <v>130494.8</v>
          </cell>
          <cell r="W390">
            <v>99695.2</v>
          </cell>
          <cell r="X390">
            <v>127483.1</v>
          </cell>
          <cell r="Y390">
            <v>125612.3</v>
          </cell>
          <cell r="Z390">
            <v>144363.70000000001</v>
          </cell>
          <cell r="AA390">
            <v>136818.70000000001</v>
          </cell>
          <cell r="AB390">
            <v>202337.3</v>
          </cell>
          <cell r="AC390">
            <v>150608.4</v>
          </cell>
          <cell r="AD390">
            <v>78722.8</v>
          </cell>
          <cell r="AE390">
            <v>110354.2</v>
          </cell>
          <cell r="AF390">
            <v>130074.4</v>
          </cell>
          <cell r="AG390">
            <v>158676.4</v>
          </cell>
          <cell r="AH390">
            <v>175170.7</v>
          </cell>
          <cell r="AJ390">
            <v>165246.5</v>
          </cell>
        </row>
        <row r="391">
          <cell r="J391">
            <v>801403.00000000012</v>
          </cell>
          <cell r="K391">
            <v>763335.8</v>
          </cell>
          <cell r="L391">
            <v>818096.4</v>
          </cell>
          <cell r="M391">
            <v>837081.3</v>
          </cell>
          <cell r="N391">
            <v>879807.2</v>
          </cell>
          <cell r="O391">
            <v>829691.9</v>
          </cell>
          <cell r="P391">
            <v>762936.6</v>
          </cell>
          <cell r="Q391">
            <v>726213.3</v>
          </cell>
          <cell r="R391">
            <v>729068.5</v>
          </cell>
          <cell r="S391">
            <v>737530.8</v>
          </cell>
          <cell r="T391">
            <v>684230.9</v>
          </cell>
          <cell r="U391">
            <v>628811.30000000005</v>
          </cell>
          <cell r="V391">
            <v>702173.3</v>
          </cell>
          <cell r="W391">
            <v>701468.1</v>
          </cell>
          <cell r="X391">
            <v>739766.5</v>
          </cell>
          <cell r="Y391">
            <v>775436.9</v>
          </cell>
          <cell r="Z391">
            <v>763423.1</v>
          </cell>
          <cell r="AA391">
            <v>759810.9</v>
          </cell>
          <cell r="AB391">
            <v>784121</v>
          </cell>
          <cell r="AC391">
            <v>738290.9</v>
          </cell>
          <cell r="AD391">
            <v>750105.3</v>
          </cell>
          <cell r="AE391">
            <v>731052.1</v>
          </cell>
          <cell r="AF391">
            <v>702646</v>
          </cell>
          <cell r="AG391">
            <v>639276.80000000005</v>
          </cell>
          <cell r="AH391">
            <v>696801.5</v>
          </cell>
          <cell r="AJ391">
            <v>763335.8</v>
          </cell>
        </row>
        <row r="392">
          <cell r="J392">
            <v>38699.1</v>
          </cell>
          <cell r="K392">
            <v>38044.1</v>
          </cell>
          <cell r="L392">
            <v>38857.599999999999</v>
          </cell>
          <cell r="M392">
            <v>39414.699999999997</v>
          </cell>
          <cell r="N392">
            <v>37883.5</v>
          </cell>
          <cell r="O392">
            <v>39056.9</v>
          </cell>
          <cell r="P392">
            <v>38249.9</v>
          </cell>
          <cell r="Q392">
            <v>37764.5</v>
          </cell>
          <cell r="R392">
            <v>34032.300000000003</v>
          </cell>
          <cell r="S392">
            <v>14096.8</v>
          </cell>
          <cell r="T392">
            <v>37132.800000000003</v>
          </cell>
          <cell r="U392">
            <v>37970.5</v>
          </cell>
          <cell r="V392">
            <v>36538.400000000001</v>
          </cell>
          <cell r="W392">
            <v>36183</v>
          </cell>
          <cell r="X392">
            <v>36683</v>
          </cell>
          <cell r="Y392">
            <v>37821.699999999997</v>
          </cell>
          <cell r="Z392">
            <v>36312.699999999997</v>
          </cell>
          <cell r="AA392">
            <v>37023.699999999997</v>
          </cell>
          <cell r="AB392">
            <v>34070.5</v>
          </cell>
          <cell r="AC392">
            <v>34269.9</v>
          </cell>
          <cell r="AD392">
            <v>33430.1</v>
          </cell>
          <cell r="AE392">
            <v>33384.199999999997</v>
          </cell>
          <cell r="AF392">
            <v>31422.7</v>
          </cell>
          <cell r="AG392">
            <v>31843.1</v>
          </cell>
          <cell r="AH392">
            <v>30756.2</v>
          </cell>
          <cell r="AJ392">
            <v>38044.1</v>
          </cell>
        </row>
        <row r="393">
          <cell r="J393">
            <v>344995.8</v>
          </cell>
          <cell r="K393">
            <v>350737</v>
          </cell>
          <cell r="L393">
            <v>377360.2</v>
          </cell>
          <cell r="M393">
            <v>426303.7</v>
          </cell>
          <cell r="N393">
            <v>473008.2</v>
          </cell>
          <cell r="O393">
            <v>493657.5</v>
          </cell>
          <cell r="P393">
            <v>395922.3</v>
          </cell>
          <cell r="Q393">
            <v>329515.90000000002</v>
          </cell>
          <cell r="R393">
            <v>304976.8</v>
          </cell>
          <cell r="S393">
            <v>351623.1</v>
          </cell>
          <cell r="T393">
            <v>284636.7</v>
          </cell>
          <cell r="U393">
            <v>287802.40000000002</v>
          </cell>
          <cell r="V393">
            <v>303719.3</v>
          </cell>
          <cell r="W393">
            <v>300783</v>
          </cell>
          <cell r="X393">
            <v>332848.7</v>
          </cell>
          <cell r="Y393">
            <v>379975.1</v>
          </cell>
          <cell r="Z393">
            <v>392604.4</v>
          </cell>
          <cell r="AA393">
            <v>444501.7</v>
          </cell>
          <cell r="AB393">
            <v>344937.7</v>
          </cell>
          <cell r="AC393">
            <v>322228.5</v>
          </cell>
          <cell r="AD393">
            <v>302050.3</v>
          </cell>
          <cell r="AE393">
            <v>333084.5</v>
          </cell>
          <cell r="AF393">
            <v>298609.40000000002</v>
          </cell>
          <cell r="AG393">
            <v>275859.8</v>
          </cell>
          <cell r="AH393">
            <v>306490.59999999998</v>
          </cell>
          <cell r="AJ393">
            <v>350737</v>
          </cell>
        </row>
        <row r="394">
          <cell r="J394">
            <v>9178.3000000000011</v>
          </cell>
          <cell r="K394">
            <v>8723.9</v>
          </cell>
          <cell r="L394">
            <v>9300.5</v>
          </cell>
          <cell r="M394">
            <v>9523.7000000000007</v>
          </cell>
          <cell r="N394">
            <v>9824</v>
          </cell>
          <cell r="O394">
            <v>11245.1</v>
          </cell>
          <cell r="P394">
            <v>9972</v>
          </cell>
          <cell r="Q394">
            <v>8478.7000000000007</v>
          </cell>
          <cell r="R394">
            <v>8627.9</v>
          </cell>
          <cell r="S394">
            <v>8356.5</v>
          </cell>
          <cell r="T394">
            <v>7820.9</v>
          </cell>
          <cell r="U394">
            <v>8192</v>
          </cell>
          <cell r="V394">
            <v>7555.5</v>
          </cell>
          <cell r="W394">
            <v>7281.6</v>
          </cell>
          <cell r="X394">
            <v>7754.5</v>
          </cell>
          <cell r="Y394">
            <v>8539.1</v>
          </cell>
          <cell r="Z394">
            <v>8316.6</v>
          </cell>
          <cell r="AA394">
            <v>10013.6</v>
          </cell>
          <cell r="AB394">
            <v>8401.2999999999993</v>
          </cell>
          <cell r="AC394">
            <v>7080.6</v>
          </cell>
          <cell r="AD394">
            <v>7548.8</v>
          </cell>
          <cell r="AE394">
            <v>5992.5</v>
          </cell>
          <cell r="AF394">
            <v>6198.5</v>
          </cell>
          <cell r="AG394">
            <v>6397.4</v>
          </cell>
          <cell r="AH394">
            <v>6331.8</v>
          </cell>
          <cell r="AJ394">
            <v>8723.9</v>
          </cell>
        </row>
        <row r="395"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J395">
            <v>0</v>
          </cell>
        </row>
        <row r="396"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J396">
            <v>0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J397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J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J400">
            <v>0</v>
          </cell>
        </row>
        <row r="402"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-3921</v>
          </cell>
          <cell r="Q402">
            <v>19797.2</v>
          </cell>
          <cell r="R402">
            <v>19737.7</v>
          </cell>
          <cell r="S402">
            <v>11992.6</v>
          </cell>
          <cell r="T402">
            <v>-8783.7000000000007</v>
          </cell>
          <cell r="U402">
            <v>11271.1</v>
          </cell>
          <cell r="V402">
            <v>13061.9</v>
          </cell>
          <cell r="W402">
            <v>11847.4</v>
          </cell>
          <cell r="X402">
            <v>12836.8</v>
          </cell>
          <cell r="Y402">
            <v>11515.5</v>
          </cell>
          <cell r="Z402">
            <v>11173.4</v>
          </cell>
          <cell r="AA402">
            <v>10662.7</v>
          </cell>
          <cell r="AB402">
            <v>65281.1</v>
          </cell>
          <cell r="AC402">
            <v>12503.1</v>
          </cell>
          <cell r="AD402">
            <v>12713.6</v>
          </cell>
          <cell r="AE402">
            <v>25557.3</v>
          </cell>
          <cell r="AF402">
            <v>15321</v>
          </cell>
          <cell r="AG402">
            <v>12260.5</v>
          </cell>
          <cell r="AH402">
            <v>14768.9</v>
          </cell>
          <cell r="AJ402">
            <v>0</v>
          </cell>
        </row>
        <row r="404">
          <cell r="J404">
            <v>1321903.2</v>
          </cell>
          <cell r="K404">
            <v>1064411.8999999999</v>
          </cell>
          <cell r="L404">
            <v>-2107388.2000000002</v>
          </cell>
          <cell r="M404">
            <v>52582.9</v>
          </cell>
          <cell r="N404">
            <v>-3356944</v>
          </cell>
          <cell r="O404">
            <v>-2260152.7000000002</v>
          </cell>
          <cell r="P404">
            <v>3782861.3</v>
          </cell>
          <cell r="Q404">
            <v>3330182.1</v>
          </cell>
          <cell r="R404">
            <v>1282169.6000000001</v>
          </cell>
          <cell r="S404">
            <v>-2005921.5</v>
          </cell>
          <cell r="T404">
            <v>342634.2</v>
          </cell>
          <cell r="U404">
            <v>865649.8</v>
          </cell>
          <cell r="V404">
            <v>-740055</v>
          </cell>
          <cell r="W404">
            <v>-1081304.7</v>
          </cell>
          <cell r="X404">
            <v>-2855529.1</v>
          </cell>
          <cell r="Y404">
            <v>-979336.3</v>
          </cell>
          <cell r="Z404">
            <v>-2510171.5</v>
          </cell>
          <cell r="AA404">
            <v>905465.6</v>
          </cell>
          <cell r="AB404">
            <v>3908644.9</v>
          </cell>
          <cell r="AC404">
            <v>2489952.9</v>
          </cell>
          <cell r="AD404">
            <v>1867514.3</v>
          </cell>
          <cell r="AE404">
            <v>-1403851.8</v>
          </cell>
          <cell r="AF404">
            <v>-66635</v>
          </cell>
          <cell r="AG404">
            <v>524532.19999999995</v>
          </cell>
          <cell r="AH404">
            <v>-654843</v>
          </cell>
          <cell r="AJ404">
            <v>1064411.8999999999</v>
          </cell>
        </row>
        <row r="405"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3153852.5</v>
          </cell>
          <cell r="Q405">
            <v>3054839.1</v>
          </cell>
          <cell r="R405">
            <v>1213254.1000000001</v>
          </cell>
          <cell r="S405">
            <v>-1777336.3</v>
          </cell>
          <cell r="T405">
            <v>253060.2</v>
          </cell>
          <cell r="U405">
            <v>751130</v>
          </cell>
          <cell r="V405">
            <v>-677459.7</v>
          </cell>
          <cell r="W405">
            <v>-1037868</v>
          </cell>
          <cell r="X405">
            <v>-2409529.6</v>
          </cell>
          <cell r="Y405">
            <v>-880218.1</v>
          </cell>
          <cell r="Z405">
            <v>-2373836.9</v>
          </cell>
          <cell r="AA405">
            <v>1032778.5</v>
          </cell>
          <cell r="AB405">
            <v>2984072.4</v>
          </cell>
          <cell r="AC405">
            <v>2261720.2999999998</v>
          </cell>
          <cell r="AD405">
            <v>1769201.7</v>
          </cell>
          <cell r="AE405">
            <v>-1167822.8</v>
          </cell>
          <cell r="AF405">
            <v>-171610</v>
          </cell>
          <cell r="AG405">
            <v>398453.2</v>
          </cell>
          <cell r="AH405">
            <v>-515002.5</v>
          </cell>
          <cell r="AJ405">
            <v>0</v>
          </cell>
        </row>
        <row r="406"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561406.19999999995</v>
          </cell>
          <cell r="Q406">
            <v>228241.8</v>
          </cell>
          <cell r="R406">
            <v>210041.1</v>
          </cell>
          <cell r="S406">
            <v>-377401.7</v>
          </cell>
          <cell r="T406">
            <v>63284.2</v>
          </cell>
          <cell r="U406">
            <v>-57943.7</v>
          </cell>
          <cell r="V406">
            <v>141426.29999999999</v>
          </cell>
          <cell r="W406">
            <v>188651.3</v>
          </cell>
          <cell r="X406">
            <v>-247119.2</v>
          </cell>
          <cell r="Y406">
            <v>-80311.199999999997</v>
          </cell>
          <cell r="Z406">
            <v>-287330.3</v>
          </cell>
          <cell r="AA406">
            <v>-222371.6</v>
          </cell>
          <cell r="AB406">
            <v>662790.40000000002</v>
          </cell>
          <cell r="AC406">
            <v>11269.1</v>
          </cell>
          <cell r="AD406">
            <v>254834.5</v>
          </cell>
          <cell r="AE406">
            <v>-208411.9</v>
          </cell>
          <cell r="AF406">
            <v>-111919.3</v>
          </cell>
          <cell r="AG406">
            <v>87587.199999999997</v>
          </cell>
          <cell r="AH406">
            <v>160149.79999999999</v>
          </cell>
          <cell r="AJ406">
            <v>0</v>
          </cell>
        </row>
        <row r="407">
          <cell r="J407">
            <v>827801.3</v>
          </cell>
          <cell r="K407">
            <v>600662.30000000005</v>
          </cell>
          <cell r="L407">
            <v>-866391.9</v>
          </cell>
          <cell r="M407">
            <v>20474.7</v>
          </cell>
          <cell r="N407">
            <v>-1200788.5</v>
          </cell>
          <cell r="O407">
            <v>-752318.1</v>
          </cell>
          <cell r="P407">
            <v>804792</v>
          </cell>
          <cell r="Q407">
            <v>654269.4</v>
          </cell>
          <cell r="R407">
            <v>669825.4</v>
          </cell>
          <cell r="S407">
            <v>-1359846</v>
          </cell>
          <cell r="T407">
            <v>109202.8</v>
          </cell>
          <cell r="U407">
            <v>185944.6</v>
          </cell>
          <cell r="V407">
            <v>135611</v>
          </cell>
          <cell r="W407">
            <v>760910.2</v>
          </cell>
          <cell r="X407">
            <v>-752247.4</v>
          </cell>
          <cell r="Y407">
            <v>-309954</v>
          </cell>
          <cell r="Z407">
            <v>-954546.5</v>
          </cell>
          <cell r="AA407">
            <v>356728.1</v>
          </cell>
          <cell r="AB407">
            <v>158250.20000000001</v>
          </cell>
          <cell r="AC407">
            <v>656779.30000000005</v>
          </cell>
          <cell r="AD407">
            <v>684652.9</v>
          </cell>
          <cell r="AE407">
            <v>-1000600.7</v>
          </cell>
          <cell r="AF407">
            <v>-264495.09999999998</v>
          </cell>
          <cell r="AG407">
            <v>556528.9</v>
          </cell>
          <cell r="AH407">
            <v>232940.5</v>
          </cell>
          <cell r="AJ407">
            <v>600662.30000000005</v>
          </cell>
        </row>
        <row r="408">
          <cell r="J408">
            <v>186818.3</v>
          </cell>
          <cell r="K408">
            <v>147131.9</v>
          </cell>
          <cell r="L408">
            <v>-201340.6</v>
          </cell>
          <cell r="M408">
            <v>4541.7</v>
          </cell>
          <cell r="N408">
            <v>-231107.4</v>
          </cell>
          <cell r="O408">
            <v>-137531.9</v>
          </cell>
          <cell r="P408">
            <v>139139.1</v>
          </cell>
          <cell r="Q408">
            <v>1116874.7</v>
          </cell>
          <cell r="R408">
            <v>-152697.4</v>
          </cell>
          <cell r="S408">
            <v>-15302.7</v>
          </cell>
          <cell r="T408">
            <v>-547967.1</v>
          </cell>
          <cell r="U408">
            <v>-49599.199999999997</v>
          </cell>
          <cell r="V408">
            <v>309169.2</v>
          </cell>
          <cell r="W408">
            <v>13272.1</v>
          </cell>
          <cell r="X408">
            <v>-114309.4</v>
          </cell>
          <cell r="Y408">
            <v>-224581.4</v>
          </cell>
          <cell r="Z408">
            <v>53054.5</v>
          </cell>
          <cell r="AA408">
            <v>-385078.6</v>
          </cell>
          <cell r="AB408">
            <v>535158.9</v>
          </cell>
          <cell r="AC408">
            <v>1194128.5</v>
          </cell>
          <cell r="AD408">
            <v>-106096.3</v>
          </cell>
          <cell r="AE408">
            <v>-382168.1</v>
          </cell>
          <cell r="AF408">
            <v>-464055.9</v>
          </cell>
          <cell r="AG408">
            <v>-271135.90000000002</v>
          </cell>
          <cell r="AH408">
            <v>34161.699999999997</v>
          </cell>
          <cell r="AJ408">
            <v>147131.9</v>
          </cell>
        </row>
        <row r="409">
          <cell r="J409">
            <v>956312.1</v>
          </cell>
          <cell r="K409">
            <v>729041.8</v>
          </cell>
          <cell r="L409">
            <v>-1065249.3</v>
          </cell>
          <cell r="M409">
            <v>25015.599999999999</v>
          </cell>
          <cell r="N409">
            <v>-1408480.3</v>
          </cell>
          <cell r="O409">
            <v>-742397.5</v>
          </cell>
          <cell r="P409">
            <v>-114513.1</v>
          </cell>
          <cell r="Q409">
            <v>1639003.8</v>
          </cell>
          <cell r="R409">
            <v>2163260.6</v>
          </cell>
          <cell r="S409">
            <v>-1628652.1</v>
          </cell>
          <cell r="T409">
            <v>1466214.2</v>
          </cell>
          <cell r="U409">
            <v>-1616322.7</v>
          </cell>
          <cell r="V409">
            <v>-575174.6</v>
          </cell>
          <cell r="W409">
            <v>1383943.8</v>
          </cell>
          <cell r="X409">
            <v>-1142542.2</v>
          </cell>
          <cell r="Y409">
            <v>-27305.3</v>
          </cell>
          <cell r="Z409">
            <v>107290.4</v>
          </cell>
          <cell r="AA409">
            <v>-1212669.2</v>
          </cell>
          <cell r="AB409">
            <v>-664144.5</v>
          </cell>
          <cell r="AC409">
            <v>1198016.6000000001</v>
          </cell>
          <cell r="AD409">
            <v>2830586.4</v>
          </cell>
          <cell r="AE409">
            <v>-761778.2</v>
          </cell>
          <cell r="AF409">
            <v>912376.1</v>
          </cell>
          <cell r="AG409">
            <v>-1567350.5</v>
          </cell>
          <cell r="AH409">
            <v>-621098.1</v>
          </cell>
          <cell r="AJ409">
            <v>729041.8</v>
          </cell>
        </row>
        <row r="410">
          <cell r="J410">
            <v>12182.4</v>
          </cell>
          <cell r="K410">
            <v>10069.700000000001</v>
          </cell>
          <cell r="L410">
            <v>-14766.3</v>
          </cell>
          <cell r="M410">
            <v>378.8</v>
          </cell>
          <cell r="N410">
            <v>-19299.099999999999</v>
          </cell>
          <cell r="O410">
            <v>-12683.1</v>
          </cell>
          <cell r="P410">
            <v>1552</v>
          </cell>
          <cell r="Q410">
            <v>31631.7</v>
          </cell>
          <cell r="R410">
            <v>47078.8</v>
          </cell>
          <cell r="S410">
            <v>-19521.5</v>
          </cell>
          <cell r="T410">
            <v>15404.1</v>
          </cell>
          <cell r="U410">
            <v>-1072</v>
          </cell>
          <cell r="V410">
            <v>-12680.5</v>
          </cell>
          <cell r="W410">
            <v>15518.2</v>
          </cell>
          <cell r="X410">
            <v>-26594.7</v>
          </cell>
          <cell r="Y410">
            <v>6090</v>
          </cell>
          <cell r="Z410">
            <v>-21896.5</v>
          </cell>
          <cell r="AA410">
            <v>-28051.1</v>
          </cell>
          <cell r="AB410">
            <v>-10941.1</v>
          </cell>
          <cell r="AC410">
            <v>30600.6</v>
          </cell>
          <cell r="AD410">
            <v>60400.4</v>
          </cell>
          <cell r="AE410">
            <v>-8411.5</v>
          </cell>
          <cell r="AF410">
            <v>5906.3</v>
          </cell>
          <cell r="AG410">
            <v>7372.5</v>
          </cell>
          <cell r="AH410">
            <v>-14628.9</v>
          </cell>
          <cell r="AJ410">
            <v>10069.700000000001</v>
          </cell>
        </row>
        <row r="411">
          <cell r="J411">
            <v>358148.3</v>
          </cell>
          <cell r="K411">
            <v>284392.40000000002</v>
          </cell>
          <cell r="L411">
            <v>-407879.4</v>
          </cell>
          <cell r="M411">
            <v>10657.9</v>
          </cell>
          <cell r="N411">
            <v>-640140.30000000005</v>
          </cell>
          <cell r="O411">
            <v>-377171.4</v>
          </cell>
          <cell r="P411">
            <v>584049.5</v>
          </cell>
          <cell r="Q411">
            <v>794481.1</v>
          </cell>
          <cell r="R411">
            <v>346743.9</v>
          </cell>
          <cell r="S411">
            <v>-177536.9</v>
          </cell>
          <cell r="T411">
            <v>172574</v>
          </cell>
          <cell r="U411">
            <v>-470815.2</v>
          </cell>
          <cell r="V411">
            <v>-95413.7</v>
          </cell>
          <cell r="W411">
            <v>423705.3</v>
          </cell>
          <cell r="X411">
            <v>-745912.8</v>
          </cell>
          <cell r="Y411">
            <v>-217541.5</v>
          </cell>
          <cell r="Z411">
            <v>-534666.80000000005</v>
          </cell>
          <cell r="AA411">
            <v>96352.9</v>
          </cell>
          <cell r="AB411">
            <v>-81292.3</v>
          </cell>
          <cell r="AC411">
            <v>547456.30000000005</v>
          </cell>
          <cell r="AD411">
            <v>550410.5</v>
          </cell>
          <cell r="AE411">
            <v>71265.8</v>
          </cell>
          <cell r="AF411">
            <v>99672</v>
          </cell>
          <cell r="AG411">
            <v>-391749.3</v>
          </cell>
          <cell r="AH411">
            <v>-126864.4</v>
          </cell>
          <cell r="AJ411">
            <v>284392.40000000002</v>
          </cell>
        </row>
        <row r="412">
          <cell r="J412">
            <v>9261.2000000000007</v>
          </cell>
          <cell r="K412">
            <v>6959.2</v>
          </cell>
          <cell r="L412">
            <v>-10212.6</v>
          </cell>
          <cell r="M412">
            <v>235.6</v>
          </cell>
          <cell r="N412">
            <v>-13246.8</v>
          </cell>
          <cell r="O412">
            <v>-8688.1</v>
          </cell>
          <cell r="P412">
            <v>14086.4</v>
          </cell>
          <cell r="Q412">
            <v>10204</v>
          </cell>
          <cell r="R412">
            <v>21950.5</v>
          </cell>
          <cell r="S412">
            <v>-15345.1</v>
          </cell>
          <cell r="T412">
            <v>1384.3</v>
          </cell>
          <cell r="U412">
            <v>2599.5</v>
          </cell>
          <cell r="V412">
            <v>-1285.8</v>
          </cell>
          <cell r="W412">
            <v>10197.9</v>
          </cell>
          <cell r="X412">
            <v>-12295.9</v>
          </cell>
          <cell r="Y412">
            <v>-626.29999999999995</v>
          </cell>
          <cell r="Z412">
            <v>-18691.8</v>
          </cell>
          <cell r="AA412">
            <v>-6945.3</v>
          </cell>
          <cell r="AB412">
            <v>6683.4</v>
          </cell>
          <cell r="AC412">
            <v>1930.8</v>
          </cell>
          <cell r="AD412">
            <v>41186.6</v>
          </cell>
          <cell r="AE412">
            <v>-9384.7999999999993</v>
          </cell>
          <cell r="AF412">
            <v>-6275.7</v>
          </cell>
          <cell r="AG412">
            <v>-1130.4000000000001</v>
          </cell>
          <cell r="AH412">
            <v>-592.1</v>
          </cell>
          <cell r="AJ412">
            <v>6959.2</v>
          </cell>
        </row>
        <row r="413"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J413">
            <v>0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J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J415">
            <v>0</v>
          </cell>
        </row>
        <row r="417">
          <cell r="J417">
            <v>79280.600000000006</v>
          </cell>
          <cell r="K417">
            <v>86994.6</v>
          </cell>
          <cell r="L417">
            <v>-88298.6</v>
          </cell>
          <cell r="M417">
            <v>18052.099999999999</v>
          </cell>
          <cell r="N417">
            <v>-172131.8</v>
          </cell>
          <cell r="O417">
            <v>-147753.79999999999</v>
          </cell>
          <cell r="P417">
            <v>169136.6</v>
          </cell>
          <cell r="Q417">
            <v>152849.70000000001</v>
          </cell>
          <cell r="R417">
            <v>55601.8</v>
          </cell>
          <cell r="S417">
            <v>-99455.5</v>
          </cell>
          <cell r="T417">
            <v>18952.8</v>
          </cell>
          <cell r="U417">
            <v>42384.1</v>
          </cell>
          <cell r="V417">
            <v>-40905.199999999997</v>
          </cell>
          <cell r="W417">
            <v>-53639.1</v>
          </cell>
          <cell r="X417">
            <v>-131836.9</v>
          </cell>
          <cell r="Y417">
            <v>-32565.200000000001</v>
          </cell>
          <cell r="Z417">
            <v>-110906.1</v>
          </cell>
          <cell r="AA417">
            <v>46248.9</v>
          </cell>
          <cell r="AB417">
            <v>176534.9</v>
          </cell>
          <cell r="AC417">
            <v>109136</v>
          </cell>
          <cell r="AD417">
            <v>85606</v>
          </cell>
          <cell r="AE417">
            <v>-69338.7</v>
          </cell>
          <cell r="AF417">
            <v>-117.7</v>
          </cell>
          <cell r="AG417">
            <v>25845.3</v>
          </cell>
          <cell r="AH417">
            <v>-39457.599999999999</v>
          </cell>
          <cell r="AJ417">
            <v>86994.6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139252.29999999999</v>
          </cell>
          <cell r="Q418">
            <v>141163</v>
          </cell>
          <cell r="R418">
            <v>52871.4</v>
          </cell>
          <cell r="S418">
            <v>-88867.199999999997</v>
          </cell>
          <cell r="T418">
            <v>13974.7</v>
          </cell>
          <cell r="U418">
            <v>37262.300000000003</v>
          </cell>
          <cell r="V418">
            <v>-37630.199999999997</v>
          </cell>
          <cell r="W418">
            <v>-52388.800000000003</v>
          </cell>
          <cell r="X418">
            <v>-109432.2</v>
          </cell>
          <cell r="Y418">
            <v>-29802.9</v>
          </cell>
          <cell r="Z418">
            <v>-105294.5</v>
          </cell>
          <cell r="AA418">
            <v>53198.2</v>
          </cell>
          <cell r="AB418">
            <v>132469.79999999999</v>
          </cell>
          <cell r="AC418">
            <v>100180.1</v>
          </cell>
          <cell r="AD418">
            <v>81259.600000000006</v>
          </cell>
          <cell r="AE418">
            <v>-58079</v>
          </cell>
          <cell r="AF418">
            <v>-6066.3</v>
          </cell>
          <cell r="AG418">
            <v>19060</v>
          </cell>
          <cell r="AH418">
            <v>-32211.9</v>
          </cell>
          <cell r="AJ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30239.8</v>
          </cell>
          <cell r="Q419">
            <v>7316.8</v>
          </cell>
          <cell r="R419">
            <v>13407.3</v>
          </cell>
          <cell r="S419">
            <v>-16792.8</v>
          </cell>
          <cell r="T419">
            <v>1411.2</v>
          </cell>
          <cell r="U419">
            <v>-2517.6</v>
          </cell>
          <cell r="V419">
            <v>4802.5</v>
          </cell>
          <cell r="W419">
            <v>11027.6</v>
          </cell>
          <cell r="X419">
            <v>-13177.6</v>
          </cell>
          <cell r="Y419">
            <v>-5785.7</v>
          </cell>
          <cell r="Z419">
            <v>-12242.9</v>
          </cell>
          <cell r="AA419">
            <v>-11363</v>
          </cell>
          <cell r="AB419">
            <v>35822</v>
          </cell>
          <cell r="AC419">
            <v>-1927.6</v>
          </cell>
          <cell r="AD419">
            <v>14582.8</v>
          </cell>
          <cell r="AE419">
            <v>-9709.4</v>
          </cell>
          <cell r="AF419">
            <v>-4395.8</v>
          </cell>
          <cell r="AG419">
            <v>3639.8</v>
          </cell>
          <cell r="AH419">
            <v>6834.3</v>
          </cell>
          <cell r="AJ419">
            <v>0</v>
          </cell>
        </row>
        <row r="420">
          <cell r="J420">
            <v>50723.4</v>
          </cell>
          <cell r="K420">
            <v>27559.4</v>
          </cell>
          <cell r="L420">
            <v>-52947.6</v>
          </cell>
          <cell r="M420">
            <v>10385.9</v>
          </cell>
          <cell r="N420">
            <v>-58963.6</v>
          </cell>
          <cell r="O420">
            <v>-48554.1</v>
          </cell>
          <cell r="P420">
            <v>33509</v>
          </cell>
          <cell r="Q420">
            <v>27738.799999999999</v>
          </cell>
          <cell r="R420">
            <v>38905.599999999999</v>
          </cell>
          <cell r="S420">
            <v>-67436.600000000006</v>
          </cell>
          <cell r="T420">
            <v>7831.8</v>
          </cell>
          <cell r="U420">
            <v>11874.6</v>
          </cell>
          <cell r="V420">
            <v>-60.6</v>
          </cell>
          <cell r="W420">
            <v>39718.9</v>
          </cell>
          <cell r="X420">
            <v>-42938.6</v>
          </cell>
          <cell r="Y420">
            <v>-17058.599999999999</v>
          </cell>
          <cell r="Z420">
            <v>-42497</v>
          </cell>
          <cell r="AA420">
            <v>25042.7</v>
          </cell>
          <cell r="AB420">
            <v>-7.4</v>
          </cell>
          <cell r="AC420">
            <v>24374.9</v>
          </cell>
          <cell r="AD420">
            <v>40323.4</v>
          </cell>
          <cell r="AE420">
            <v>-45226.7</v>
          </cell>
          <cell r="AF420">
            <v>-13768.6</v>
          </cell>
          <cell r="AG420">
            <v>30220</v>
          </cell>
          <cell r="AH420">
            <v>10196.200000000001</v>
          </cell>
          <cell r="AJ420">
            <v>27559.4</v>
          </cell>
        </row>
        <row r="421">
          <cell r="J421">
            <v>9320.6</v>
          </cell>
          <cell r="K421">
            <v>6367.7</v>
          </cell>
          <cell r="L421">
            <v>-9484.9</v>
          </cell>
          <cell r="M421">
            <v>1100.7</v>
          </cell>
          <cell r="N421">
            <v>-10547.6</v>
          </cell>
          <cell r="O421">
            <v>-8401.2000000000007</v>
          </cell>
          <cell r="P421">
            <v>3681.7</v>
          </cell>
          <cell r="Q421">
            <v>50000.7</v>
          </cell>
          <cell r="R421">
            <v>-7472.4</v>
          </cell>
          <cell r="S421">
            <v>-719.2</v>
          </cell>
          <cell r="T421">
            <v>-25002.7</v>
          </cell>
          <cell r="U421">
            <v>-1070.5999999999999</v>
          </cell>
          <cell r="V421">
            <v>13777.7</v>
          </cell>
          <cell r="W421">
            <v>300</v>
          </cell>
          <cell r="X421">
            <v>-7460.9</v>
          </cell>
          <cell r="Y421">
            <v>-8486.4</v>
          </cell>
          <cell r="Z421">
            <v>3899.9</v>
          </cell>
          <cell r="AA421">
            <v>-15253.1</v>
          </cell>
          <cell r="AB421">
            <v>21562.6</v>
          </cell>
          <cell r="AC421">
            <v>52674.8</v>
          </cell>
          <cell r="AD421">
            <v>-4579.6000000000004</v>
          </cell>
          <cell r="AE421">
            <v>-16978.7</v>
          </cell>
          <cell r="AF421">
            <v>-22054.9</v>
          </cell>
          <cell r="AG421">
            <v>-11021</v>
          </cell>
          <cell r="AH421">
            <v>650.4</v>
          </cell>
          <cell r="AJ421">
            <v>6367.7</v>
          </cell>
        </row>
        <row r="422">
          <cell r="J422">
            <v>54659.5</v>
          </cell>
          <cell r="K422">
            <v>35577.800000000003</v>
          </cell>
          <cell r="L422">
            <v>-45630.9</v>
          </cell>
          <cell r="M422">
            <v>9260.2999999999993</v>
          </cell>
          <cell r="N422">
            <v>-65983.899999999994</v>
          </cell>
          <cell r="O422">
            <v>-37834.1</v>
          </cell>
          <cell r="P422">
            <v>-7752.1</v>
          </cell>
          <cell r="Q422">
            <v>63568.5</v>
          </cell>
          <cell r="R422">
            <v>79565.3</v>
          </cell>
          <cell r="S422">
            <v>-69514.899999999994</v>
          </cell>
          <cell r="T422">
            <v>63322.400000000001</v>
          </cell>
          <cell r="U422">
            <v>-78973.100000000006</v>
          </cell>
          <cell r="V422">
            <v>-17070.2</v>
          </cell>
          <cell r="W422">
            <v>65804.899999999994</v>
          </cell>
          <cell r="X422">
            <v>-46758.9</v>
          </cell>
          <cell r="Y422">
            <v>3494.3</v>
          </cell>
          <cell r="Z422">
            <v>11811.4</v>
          </cell>
          <cell r="AA422">
            <v>-49652.4</v>
          </cell>
          <cell r="AB422">
            <v>-29394.1</v>
          </cell>
          <cell r="AC422">
            <v>48087.7</v>
          </cell>
          <cell r="AD422">
            <v>106137.2</v>
          </cell>
          <cell r="AE422">
            <v>-32218.9</v>
          </cell>
          <cell r="AF422">
            <v>43428.1</v>
          </cell>
          <cell r="AG422">
            <v>-87069.5</v>
          </cell>
          <cell r="AH422">
            <v>-4922.2</v>
          </cell>
          <cell r="AJ422">
            <v>35577.800000000003</v>
          </cell>
        </row>
        <row r="423">
          <cell r="J423">
            <v>2886.3</v>
          </cell>
          <cell r="K423">
            <v>2083.6</v>
          </cell>
          <cell r="L423">
            <v>-1626.7</v>
          </cell>
          <cell r="M423">
            <v>15.1</v>
          </cell>
          <cell r="N423">
            <v>-1602.5</v>
          </cell>
          <cell r="O423">
            <v>-1499.1</v>
          </cell>
          <cell r="P423">
            <v>983.2</v>
          </cell>
          <cell r="Q423">
            <v>3148.1</v>
          </cell>
          <cell r="R423">
            <v>7156.6</v>
          </cell>
          <cell r="S423">
            <v>5833.2</v>
          </cell>
          <cell r="T423">
            <v>-9972.2000000000007</v>
          </cell>
          <cell r="U423">
            <v>-1370.4</v>
          </cell>
          <cell r="V423">
            <v>-2633.5</v>
          </cell>
          <cell r="W423">
            <v>4671.8999999999996</v>
          </cell>
          <cell r="X423">
            <v>-2898.7</v>
          </cell>
          <cell r="Y423">
            <v>3700.2</v>
          </cell>
          <cell r="Z423">
            <v>-2859.5</v>
          </cell>
          <cell r="AA423">
            <v>-100.7</v>
          </cell>
          <cell r="AB423">
            <v>-2346.8000000000002</v>
          </cell>
          <cell r="AC423">
            <v>1842.9</v>
          </cell>
          <cell r="AD423">
            <v>6187.4</v>
          </cell>
          <cell r="AE423">
            <v>-3089.4</v>
          </cell>
          <cell r="AF423">
            <v>1065.5</v>
          </cell>
          <cell r="AG423">
            <v>-579.4</v>
          </cell>
          <cell r="AH423">
            <v>-3236.5</v>
          </cell>
          <cell r="AJ423">
            <v>2083.6</v>
          </cell>
        </row>
        <row r="424">
          <cell r="J424">
            <v>19422.400000000001</v>
          </cell>
          <cell r="K424">
            <v>13701.1</v>
          </cell>
          <cell r="L424">
            <v>-20345</v>
          </cell>
          <cell r="M424">
            <v>4134.8</v>
          </cell>
          <cell r="N424">
            <v>-33111.800000000003</v>
          </cell>
          <cell r="O424">
            <v>-27655.8</v>
          </cell>
          <cell r="P424">
            <v>29164.7</v>
          </cell>
          <cell r="Q424">
            <v>43147.6</v>
          </cell>
          <cell r="R424">
            <v>21654.3</v>
          </cell>
          <cell r="S424">
            <v>1146.7</v>
          </cell>
          <cell r="T424">
            <v>12393.7</v>
          </cell>
          <cell r="U424">
            <v>-19575.7</v>
          </cell>
          <cell r="V424">
            <v>5390</v>
          </cell>
          <cell r="W424">
            <v>27035.4</v>
          </cell>
          <cell r="X424">
            <v>-36317.800000000003</v>
          </cell>
          <cell r="Y424">
            <v>235.3</v>
          </cell>
          <cell r="Z424">
            <v>-13459.7</v>
          </cell>
          <cell r="AA424">
            <v>15376.8</v>
          </cell>
          <cell r="AB424">
            <v>-8162.9</v>
          </cell>
          <cell r="AC424">
            <v>22697.8</v>
          </cell>
          <cell r="AD424">
            <v>32198</v>
          </cell>
          <cell r="AE424">
            <v>6564.9</v>
          </cell>
          <cell r="AF424">
            <v>2106.4</v>
          </cell>
          <cell r="AG424">
            <v>-17933.7</v>
          </cell>
          <cell r="AH424">
            <v>-9676.9</v>
          </cell>
          <cell r="AJ424">
            <v>13701.1</v>
          </cell>
        </row>
        <row r="425">
          <cell r="J425">
            <v>596.1</v>
          </cell>
          <cell r="K425">
            <v>498</v>
          </cell>
          <cell r="L425">
            <v>-618.6</v>
          </cell>
          <cell r="M425">
            <v>265.60000000000002</v>
          </cell>
          <cell r="N425">
            <v>-508.2</v>
          </cell>
          <cell r="O425">
            <v>-898.7</v>
          </cell>
          <cell r="P425">
            <v>411.5</v>
          </cell>
          <cell r="Q425">
            <v>324.60000000000002</v>
          </cell>
          <cell r="R425">
            <v>1193.8</v>
          </cell>
          <cell r="S425">
            <v>-693.3</v>
          </cell>
          <cell r="T425">
            <v>45.3</v>
          </cell>
          <cell r="U425">
            <v>186.8</v>
          </cell>
          <cell r="V425">
            <v>-190.3</v>
          </cell>
          <cell r="W425">
            <v>559.29999999999995</v>
          </cell>
          <cell r="X425">
            <v>-572.20000000000005</v>
          </cell>
          <cell r="Y425">
            <v>-54.9</v>
          </cell>
          <cell r="Z425">
            <v>-773.7</v>
          </cell>
          <cell r="AA425">
            <v>-187.3</v>
          </cell>
          <cell r="AB425">
            <v>182.8</v>
          </cell>
          <cell r="AC425">
            <v>61.6</v>
          </cell>
          <cell r="AD425">
            <v>1885.3</v>
          </cell>
          <cell r="AE425">
            <v>-374.8</v>
          </cell>
          <cell r="AF425">
            <v>-349.8</v>
          </cell>
          <cell r="AG425">
            <v>-24.2</v>
          </cell>
          <cell r="AH425">
            <v>-60.1</v>
          </cell>
          <cell r="AJ425">
            <v>498</v>
          </cell>
        </row>
        <row r="426"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J426">
            <v>0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J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J428">
            <v>0</v>
          </cell>
        </row>
        <row r="430"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J430">
            <v>0</v>
          </cell>
        </row>
        <row r="431"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J431">
            <v>0</v>
          </cell>
        </row>
        <row r="432"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J432">
            <v>0</v>
          </cell>
        </row>
        <row r="433"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J433">
            <v>0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J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J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J436">
            <v>0</v>
          </cell>
        </row>
        <row r="437"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J437">
            <v>0</v>
          </cell>
        </row>
        <row r="438"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J438">
            <v>0</v>
          </cell>
        </row>
        <row r="440"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J440">
            <v>0</v>
          </cell>
        </row>
        <row r="442"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109739867.7</v>
          </cell>
          <cell r="Q442">
            <v>88724989.400000006</v>
          </cell>
          <cell r="R442">
            <v>71961140</v>
          </cell>
          <cell r="S442">
            <v>63372074.700000003</v>
          </cell>
          <cell r="T442">
            <v>71151338.200000003</v>
          </cell>
          <cell r="U442">
            <v>70036204.400000006</v>
          </cell>
          <cell r="V442">
            <v>64338309.200000003</v>
          </cell>
          <cell r="W442">
            <v>66822999.100000001</v>
          </cell>
          <cell r="X442">
            <v>71792249</v>
          </cell>
          <cell r="Y442">
            <v>91085101.599999994</v>
          </cell>
          <cell r="Z442">
            <v>93516091.400000006</v>
          </cell>
          <cell r="AA442">
            <v>93516091.400000006</v>
          </cell>
          <cell r="AB442">
            <v>103544836.3</v>
          </cell>
          <cell r="AC442">
            <v>82446092.5</v>
          </cell>
          <cell r="AD442">
            <v>74061946</v>
          </cell>
          <cell r="AE442">
            <v>63075788.100000001</v>
          </cell>
          <cell r="AF442">
            <v>70111623.400000006</v>
          </cell>
          <cell r="AG442">
            <v>67125588.799999997</v>
          </cell>
          <cell r="AH442">
            <v>64921906</v>
          </cell>
          <cell r="AJ442">
            <v>0</v>
          </cell>
        </row>
        <row r="443"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6465873</v>
          </cell>
          <cell r="Q443">
            <v>5227676.4000000004</v>
          </cell>
          <cell r="R443">
            <v>4239950.4000000004</v>
          </cell>
          <cell r="S443">
            <v>3733882.6</v>
          </cell>
          <cell r="T443">
            <v>4192236.8</v>
          </cell>
          <cell r="U443">
            <v>4126533.2</v>
          </cell>
          <cell r="V443">
            <v>3790813.2</v>
          </cell>
          <cell r="W443">
            <v>3937211.1</v>
          </cell>
          <cell r="X443">
            <v>4229999.3</v>
          </cell>
          <cell r="Y443">
            <v>5366734.2</v>
          </cell>
          <cell r="Z443">
            <v>5509968.0999999996</v>
          </cell>
          <cell r="AA443">
            <v>5509968.0999999996</v>
          </cell>
          <cell r="AB443">
            <v>6578000</v>
          </cell>
          <cell r="AC443">
            <v>5230000</v>
          </cell>
          <cell r="AD443">
            <v>4519000</v>
          </cell>
          <cell r="AE443">
            <v>4057000</v>
          </cell>
          <cell r="AF443">
            <v>4426000</v>
          </cell>
          <cell r="AG443">
            <v>4424000</v>
          </cell>
          <cell r="AH443">
            <v>4131000</v>
          </cell>
          <cell r="AJ443">
            <v>0</v>
          </cell>
        </row>
      </sheetData>
      <sheetData sheetId="4" refreshError="1">
        <row r="5">
          <cell r="I5">
            <v>38504</v>
          </cell>
          <cell r="J5">
            <v>38473</v>
          </cell>
          <cell r="K5">
            <v>38443</v>
          </cell>
          <cell r="L5">
            <v>38412</v>
          </cell>
          <cell r="M5">
            <v>38384</v>
          </cell>
          <cell r="N5">
            <v>38353</v>
          </cell>
          <cell r="O5">
            <v>38322</v>
          </cell>
          <cell r="P5">
            <v>38292</v>
          </cell>
          <cell r="Q5">
            <v>38261</v>
          </cell>
          <cell r="R5">
            <v>38231</v>
          </cell>
          <cell r="S5">
            <v>38200</v>
          </cell>
          <cell r="T5">
            <v>38169</v>
          </cell>
          <cell r="U5">
            <v>38139</v>
          </cell>
          <cell r="V5">
            <v>38108</v>
          </cell>
          <cell r="W5">
            <v>38078</v>
          </cell>
          <cell r="X5">
            <v>38047</v>
          </cell>
          <cell r="Y5">
            <v>38018</v>
          </cell>
          <cell r="Z5">
            <v>37987</v>
          </cell>
          <cell r="AA5">
            <v>37956</v>
          </cell>
          <cell r="AB5">
            <v>37926</v>
          </cell>
          <cell r="AC5">
            <v>37895</v>
          </cell>
          <cell r="AD5">
            <v>37865</v>
          </cell>
          <cell r="AE5">
            <v>37834</v>
          </cell>
          <cell r="AF5">
            <v>37803</v>
          </cell>
          <cell r="AG5">
            <v>37773</v>
          </cell>
          <cell r="AI5">
            <v>38473</v>
          </cell>
        </row>
        <row r="7">
          <cell r="I7">
            <v>17636826</v>
          </cell>
          <cell r="J7">
            <v>17330886</v>
          </cell>
          <cell r="K7">
            <v>25521974</v>
          </cell>
          <cell r="L7">
            <v>27503582</v>
          </cell>
          <cell r="M7">
            <v>28634682</v>
          </cell>
          <cell r="N7">
            <v>33210231</v>
          </cell>
          <cell r="O7">
            <v>14506383</v>
          </cell>
          <cell r="P7">
            <v>10689388</v>
          </cell>
          <cell r="Q7">
            <v>14898942</v>
          </cell>
          <cell r="R7">
            <v>15888033</v>
          </cell>
          <cell r="S7">
            <v>18612297</v>
          </cell>
          <cell r="T7">
            <v>16333863</v>
          </cell>
          <cell r="U7">
            <v>14781109</v>
          </cell>
          <cell r="V7">
            <v>12534708</v>
          </cell>
          <cell r="W7">
            <v>13498990</v>
          </cell>
          <cell r="X7">
            <v>17239197</v>
          </cell>
          <cell r="Y7">
            <v>19378677</v>
          </cell>
          <cell r="Z7">
            <v>19292230</v>
          </cell>
          <cell r="AA7">
            <v>13085885</v>
          </cell>
          <cell r="AB7">
            <v>9769819</v>
          </cell>
          <cell r="AC7">
            <v>12555729</v>
          </cell>
          <cell r="AD7">
            <v>17396529</v>
          </cell>
          <cell r="AE7">
            <v>17297136</v>
          </cell>
          <cell r="AF7">
            <v>12838763</v>
          </cell>
          <cell r="AG7">
            <v>10766457</v>
          </cell>
          <cell r="AI7">
            <v>17330886</v>
          </cell>
        </row>
        <row r="8">
          <cell r="I8">
            <v>18514430</v>
          </cell>
          <cell r="J8">
            <v>17972375</v>
          </cell>
          <cell r="K8">
            <v>25689303</v>
          </cell>
          <cell r="L8">
            <v>26761558</v>
          </cell>
          <cell r="M8">
            <v>29853422</v>
          </cell>
          <cell r="N8">
            <v>33831385</v>
          </cell>
          <cell r="O8">
            <v>14366496</v>
          </cell>
          <cell r="P8">
            <v>10864811</v>
          </cell>
          <cell r="Q8">
            <v>14245972</v>
          </cell>
          <cell r="R8">
            <v>15762758</v>
          </cell>
          <cell r="S8">
            <v>18809766</v>
          </cell>
          <cell r="T8">
            <v>16400307</v>
          </cell>
          <cell r="U8">
            <v>14931950</v>
          </cell>
          <cell r="V8">
            <v>12582492</v>
          </cell>
          <cell r="W8">
            <v>13396891</v>
          </cell>
          <cell r="X8">
            <v>17565875</v>
          </cell>
          <cell r="Y8">
            <v>21348543</v>
          </cell>
          <cell r="Z8">
            <v>20829018</v>
          </cell>
          <cell r="AA8">
            <v>14860809</v>
          </cell>
          <cell r="AB8">
            <v>10809454</v>
          </cell>
          <cell r="AC8">
            <v>12987125</v>
          </cell>
          <cell r="AD8">
            <v>19771127</v>
          </cell>
          <cell r="AE8">
            <v>19730345</v>
          </cell>
          <cell r="AF8">
            <v>15298082</v>
          </cell>
          <cell r="AG8">
            <v>11910798</v>
          </cell>
          <cell r="AI8">
            <v>17972375</v>
          </cell>
        </row>
        <row r="9">
          <cell r="I9">
            <v>18364535</v>
          </cell>
          <cell r="J9">
            <v>17665981</v>
          </cell>
          <cell r="K9">
            <v>26036108</v>
          </cell>
          <cell r="L9">
            <v>27681899</v>
          </cell>
          <cell r="M9">
            <v>30347903</v>
          </cell>
          <cell r="N9">
            <v>34141143</v>
          </cell>
          <cell r="O9">
            <v>15451364</v>
          </cell>
          <cell r="P9">
            <v>11758584</v>
          </cell>
          <cell r="Q9">
            <v>15398898</v>
          </cell>
          <cell r="R9">
            <v>16798212</v>
          </cell>
          <cell r="S9">
            <v>20785924</v>
          </cell>
          <cell r="T9">
            <v>18447053</v>
          </cell>
          <cell r="U9">
            <v>16205823</v>
          </cell>
          <cell r="V9">
            <v>12808130</v>
          </cell>
          <cell r="W9">
            <v>14653462</v>
          </cell>
          <cell r="X9">
            <v>17918269</v>
          </cell>
          <cell r="Y9">
            <v>22528293</v>
          </cell>
          <cell r="Z9">
            <v>21931952</v>
          </cell>
          <cell r="AA9">
            <v>15744047</v>
          </cell>
          <cell r="AB9">
            <v>11231714</v>
          </cell>
          <cell r="AC9">
            <v>13134091</v>
          </cell>
          <cell r="AD9">
            <v>20852753</v>
          </cell>
          <cell r="AE9">
            <v>20159937</v>
          </cell>
          <cell r="AF9">
            <v>17173156</v>
          </cell>
          <cell r="AG9">
            <v>12006365</v>
          </cell>
          <cell r="AI9">
            <v>17665981</v>
          </cell>
        </row>
        <row r="10">
          <cell r="I10">
            <v>18294682</v>
          </cell>
          <cell r="J10">
            <v>16493000</v>
          </cell>
          <cell r="K10">
            <v>23791733</v>
          </cell>
          <cell r="L10">
            <v>25767479</v>
          </cell>
          <cell r="M10">
            <v>27713934</v>
          </cell>
          <cell r="N10">
            <v>30603190</v>
          </cell>
          <cell r="O10">
            <v>14907911</v>
          </cell>
          <cell r="P10">
            <v>11180142</v>
          </cell>
          <cell r="Q10">
            <v>14455761</v>
          </cell>
          <cell r="R10">
            <v>15737161</v>
          </cell>
          <cell r="S10">
            <v>18684232</v>
          </cell>
          <cell r="T10">
            <v>18029325</v>
          </cell>
          <cell r="U10">
            <v>15354369</v>
          </cell>
          <cell r="V10">
            <v>12293760</v>
          </cell>
          <cell r="W10">
            <v>14509946</v>
          </cell>
          <cell r="X10">
            <v>16658504</v>
          </cell>
          <cell r="Y10">
            <v>20997385</v>
          </cell>
          <cell r="Z10">
            <v>21100916</v>
          </cell>
          <cell r="AA10">
            <v>15134740</v>
          </cell>
          <cell r="AB10">
            <v>10931946</v>
          </cell>
          <cell r="AC10">
            <v>12559674</v>
          </cell>
          <cell r="AD10">
            <v>19122766</v>
          </cell>
          <cell r="AE10">
            <v>17557816</v>
          </cell>
          <cell r="AF10">
            <v>16986002</v>
          </cell>
          <cell r="AG10">
            <v>10988377</v>
          </cell>
          <cell r="AI10">
            <v>16493000</v>
          </cell>
        </row>
        <row r="11">
          <cell r="I11">
            <v>19399210</v>
          </cell>
          <cell r="J11">
            <v>17325272</v>
          </cell>
          <cell r="K11">
            <v>23892859</v>
          </cell>
          <cell r="L11">
            <v>27421692</v>
          </cell>
          <cell r="M11">
            <v>30236317</v>
          </cell>
          <cell r="N11">
            <v>32037487</v>
          </cell>
          <cell r="O11">
            <v>14547356</v>
          </cell>
          <cell r="P11">
            <v>10171203</v>
          </cell>
          <cell r="Q11">
            <v>12868422</v>
          </cell>
          <cell r="R11">
            <v>15343755</v>
          </cell>
          <cell r="S11">
            <v>16903062</v>
          </cell>
          <cell r="T11">
            <v>17622341</v>
          </cell>
          <cell r="U11">
            <v>14691556</v>
          </cell>
          <cell r="V11">
            <v>11000274</v>
          </cell>
          <cell r="W11">
            <v>15023466</v>
          </cell>
          <cell r="X11">
            <v>16900332</v>
          </cell>
          <cell r="Y11">
            <v>21688079</v>
          </cell>
          <cell r="Z11">
            <v>21855797</v>
          </cell>
          <cell r="AA11">
            <v>15367318</v>
          </cell>
          <cell r="AB11">
            <v>10865223</v>
          </cell>
          <cell r="AC11">
            <v>12282092</v>
          </cell>
          <cell r="AD11">
            <v>19538739</v>
          </cell>
          <cell r="AE11">
            <v>17627839</v>
          </cell>
          <cell r="AF11">
            <v>17506120</v>
          </cell>
          <cell r="AG11">
            <v>11661450</v>
          </cell>
          <cell r="AI11">
            <v>17325272</v>
          </cell>
        </row>
        <row r="12">
          <cell r="I12">
            <v>20185584</v>
          </cell>
          <cell r="J12">
            <v>17833549</v>
          </cell>
          <cell r="K12">
            <v>23342097</v>
          </cell>
          <cell r="L12">
            <v>27609233</v>
          </cell>
          <cell r="M12">
            <v>30809083</v>
          </cell>
          <cell r="N12">
            <v>33077177</v>
          </cell>
          <cell r="O12">
            <v>16038463</v>
          </cell>
          <cell r="P12">
            <v>11157089</v>
          </cell>
          <cell r="Q12">
            <v>13193614</v>
          </cell>
          <cell r="R12">
            <v>16741968</v>
          </cell>
          <cell r="S12">
            <v>18323013</v>
          </cell>
          <cell r="T12">
            <v>18976741</v>
          </cell>
          <cell r="U12">
            <v>16238150</v>
          </cell>
          <cell r="V12">
            <v>12240567</v>
          </cell>
          <cell r="W12">
            <v>15357543</v>
          </cell>
          <cell r="X12">
            <v>17090209</v>
          </cell>
          <cell r="Y12">
            <v>22893176</v>
          </cell>
          <cell r="Z12">
            <v>23399983</v>
          </cell>
          <cell r="AA12">
            <v>17303464</v>
          </cell>
          <cell r="AB12">
            <v>11394833</v>
          </cell>
          <cell r="AC12">
            <v>12449446</v>
          </cell>
          <cell r="AD12">
            <v>20997294</v>
          </cell>
          <cell r="AE12">
            <v>18760203</v>
          </cell>
          <cell r="AF12">
            <v>19255456</v>
          </cell>
          <cell r="AG12">
            <v>12613293</v>
          </cell>
          <cell r="AI12">
            <v>17833549</v>
          </cell>
        </row>
        <row r="13">
          <cell r="I13">
            <v>20089624</v>
          </cell>
          <cell r="J13">
            <v>18270758</v>
          </cell>
          <cell r="K13">
            <v>23673881</v>
          </cell>
          <cell r="L13">
            <v>27857094</v>
          </cell>
          <cell r="M13">
            <v>31427803</v>
          </cell>
          <cell r="N13">
            <v>33668586</v>
          </cell>
          <cell r="O13">
            <v>15795055</v>
          </cell>
          <cell r="P13">
            <v>11227960</v>
          </cell>
          <cell r="Q13">
            <v>12320619</v>
          </cell>
          <cell r="R13">
            <v>16239590</v>
          </cell>
          <cell r="S13">
            <v>17348266</v>
          </cell>
          <cell r="T13">
            <v>18537322</v>
          </cell>
          <cell r="U13">
            <v>15053779</v>
          </cell>
          <cell r="V13">
            <v>12216853</v>
          </cell>
          <cell r="W13">
            <v>14396689</v>
          </cell>
          <cell r="X13">
            <v>16638801</v>
          </cell>
          <cell r="Y13">
            <v>21604004</v>
          </cell>
          <cell r="Z13">
            <v>22020020</v>
          </cell>
          <cell r="AA13">
            <v>16230824</v>
          </cell>
          <cell r="AB13">
            <v>10752937</v>
          </cell>
          <cell r="AC13">
            <v>12290090</v>
          </cell>
          <cell r="AD13">
            <v>18073420</v>
          </cell>
          <cell r="AE13">
            <v>16970066</v>
          </cell>
          <cell r="AF13">
            <v>17330034</v>
          </cell>
          <cell r="AG13">
            <v>11001504</v>
          </cell>
          <cell r="AI13">
            <v>18270758</v>
          </cell>
        </row>
        <row r="14">
          <cell r="I14">
            <v>21238591</v>
          </cell>
          <cell r="J14">
            <v>19053109</v>
          </cell>
          <cell r="K14">
            <v>25513124</v>
          </cell>
          <cell r="L14">
            <v>30879605</v>
          </cell>
          <cell r="M14">
            <v>34496115</v>
          </cell>
          <cell r="N14">
            <v>36690031</v>
          </cell>
          <cell r="O14">
            <v>18645715</v>
          </cell>
          <cell r="P14">
            <v>12007240</v>
          </cell>
          <cell r="Q14">
            <v>12842785</v>
          </cell>
          <cell r="R14">
            <v>16743603</v>
          </cell>
          <cell r="S14">
            <v>17274332</v>
          </cell>
          <cell r="T14">
            <v>19157787</v>
          </cell>
          <cell r="U14">
            <v>15148452</v>
          </cell>
          <cell r="V14">
            <v>12213485</v>
          </cell>
          <cell r="W14">
            <v>16738913</v>
          </cell>
          <cell r="X14">
            <v>18077244</v>
          </cell>
          <cell r="Y14">
            <v>24659988</v>
          </cell>
          <cell r="Z14">
            <v>25828088</v>
          </cell>
          <cell r="AA14">
            <v>18142804</v>
          </cell>
          <cell r="AB14">
            <v>12007954</v>
          </cell>
          <cell r="AC14">
            <v>12798626</v>
          </cell>
          <cell r="AD14">
            <v>19566545</v>
          </cell>
          <cell r="AE14">
            <v>18686190</v>
          </cell>
          <cell r="AF14">
            <v>19830685</v>
          </cell>
          <cell r="AG14">
            <v>12337701</v>
          </cell>
          <cell r="AI14">
            <v>19053109</v>
          </cell>
        </row>
        <row r="15">
          <cell r="I15">
            <v>18611784</v>
          </cell>
          <cell r="J15">
            <v>15942471</v>
          </cell>
          <cell r="K15">
            <v>19791685</v>
          </cell>
          <cell r="L15">
            <v>25557335</v>
          </cell>
          <cell r="M15">
            <v>27948675</v>
          </cell>
          <cell r="N15">
            <v>29582208</v>
          </cell>
          <cell r="O15">
            <v>16938757</v>
          </cell>
          <cell r="P15">
            <v>9876778</v>
          </cell>
          <cell r="Q15">
            <v>10199405</v>
          </cell>
          <cell r="R15">
            <v>14169609</v>
          </cell>
          <cell r="S15">
            <v>14130212</v>
          </cell>
          <cell r="T15">
            <v>16599946</v>
          </cell>
          <cell r="U15">
            <v>13330909</v>
          </cell>
          <cell r="V15">
            <v>9948642</v>
          </cell>
          <cell r="W15">
            <v>13184727</v>
          </cell>
          <cell r="X15">
            <v>13685781</v>
          </cell>
          <cell r="Y15">
            <v>18481078</v>
          </cell>
          <cell r="Z15">
            <v>20019182</v>
          </cell>
          <cell r="AA15">
            <v>13972063</v>
          </cell>
          <cell r="AB15">
            <v>9515446</v>
          </cell>
          <cell r="AC15">
            <v>10259271</v>
          </cell>
          <cell r="AD15">
            <v>15435111</v>
          </cell>
          <cell r="AE15">
            <v>14405058</v>
          </cell>
          <cell r="AF15">
            <v>15798567</v>
          </cell>
          <cell r="AG15">
            <v>9675524</v>
          </cell>
          <cell r="AI15">
            <v>15942471</v>
          </cell>
        </row>
        <row r="16">
          <cell r="I16">
            <v>21216951</v>
          </cell>
          <cell r="J16">
            <v>17649664</v>
          </cell>
          <cell r="K16">
            <v>20714505</v>
          </cell>
          <cell r="L16">
            <v>27774819</v>
          </cell>
          <cell r="M16">
            <v>31179329</v>
          </cell>
          <cell r="N16">
            <v>31991837</v>
          </cell>
          <cell r="O16">
            <v>24176383</v>
          </cell>
          <cell r="P16">
            <v>10518634</v>
          </cell>
          <cell r="Q16">
            <v>11189063</v>
          </cell>
          <cell r="R16">
            <v>15475165</v>
          </cell>
          <cell r="S16">
            <v>15186812</v>
          </cell>
          <cell r="T16">
            <v>17403273</v>
          </cell>
          <cell r="U16">
            <v>14876841</v>
          </cell>
          <cell r="V16">
            <v>11035869</v>
          </cell>
          <cell r="W16">
            <v>13742012</v>
          </cell>
          <cell r="X16">
            <v>14996049</v>
          </cell>
          <cell r="Y16">
            <v>20061159</v>
          </cell>
          <cell r="Z16">
            <v>21092887</v>
          </cell>
          <cell r="AA16">
            <v>15526012</v>
          </cell>
          <cell r="AB16">
            <v>10531456</v>
          </cell>
          <cell r="AC16">
            <v>10967302</v>
          </cell>
          <cell r="AD16">
            <v>18499463</v>
          </cell>
          <cell r="AE16">
            <v>16295867</v>
          </cell>
          <cell r="AF16">
            <v>17277299</v>
          </cell>
          <cell r="AG16">
            <v>11470948</v>
          </cell>
          <cell r="AI16">
            <v>17649664</v>
          </cell>
        </row>
        <row r="17">
          <cell r="I17">
            <v>23378375</v>
          </cell>
          <cell r="J17">
            <v>20169472</v>
          </cell>
          <cell r="K17">
            <v>22165830</v>
          </cell>
          <cell r="L17">
            <v>31084073</v>
          </cell>
          <cell r="M17">
            <v>35400773</v>
          </cell>
          <cell r="N17">
            <v>36057255</v>
          </cell>
          <cell r="O17">
            <v>27519089</v>
          </cell>
          <cell r="P17">
            <v>11991313</v>
          </cell>
          <cell r="Q17">
            <v>12303621</v>
          </cell>
          <cell r="R17">
            <v>17328729</v>
          </cell>
          <cell r="S17">
            <v>17082992</v>
          </cell>
          <cell r="T17">
            <v>19745272</v>
          </cell>
          <cell r="U17">
            <v>16941888</v>
          </cell>
          <cell r="V17">
            <v>12573270</v>
          </cell>
          <cell r="W17">
            <v>15128491</v>
          </cell>
          <cell r="X17">
            <v>16941413</v>
          </cell>
          <cell r="Y17">
            <v>23347508</v>
          </cell>
          <cell r="Z17">
            <v>23730991</v>
          </cell>
          <cell r="AA17">
            <v>18432753</v>
          </cell>
          <cell r="AB17">
            <v>11709907</v>
          </cell>
          <cell r="AC17">
            <v>11564620</v>
          </cell>
          <cell r="AD17">
            <v>18196632</v>
          </cell>
          <cell r="AE17">
            <v>17093221</v>
          </cell>
          <cell r="AF17">
            <v>18546169</v>
          </cell>
          <cell r="AG17">
            <v>12416396</v>
          </cell>
          <cell r="AI17">
            <v>20169472</v>
          </cell>
        </row>
        <row r="18">
          <cell r="I18">
            <v>24607757</v>
          </cell>
          <cell r="J18">
            <v>21180750</v>
          </cell>
          <cell r="K18">
            <v>23506165</v>
          </cell>
          <cell r="L18">
            <v>32604130</v>
          </cell>
          <cell r="M18">
            <v>36686938</v>
          </cell>
          <cell r="N18">
            <v>38967501</v>
          </cell>
          <cell r="O18">
            <v>28917910</v>
          </cell>
          <cell r="P18">
            <v>13870763</v>
          </cell>
          <cell r="Q18">
            <v>13582952</v>
          </cell>
          <cell r="R18">
            <v>19475107</v>
          </cell>
          <cell r="S18">
            <v>18570132</v>
          </cell>
          <cell r="T18">
            <v>21581462</v>
          </cell>
          <cell r="U18">
            <v>18686124</v>
          </cell>
          <cell r="V18">
            <v>14047494</v>
          </cell>
          <cell r="W18">
            <v>16505707</v>
          </cell>
          <cell r="X18">
            <v>18687125</v>
          </cell>
          <cell r="Y18">
            <v>27070588</v>
          </cell>
          <cell r="Z18">
            <v>27484575</v>
          </cell>
          <cell r="AA18">
            <v>21068780</v>
          </cell>
          <cell r="AB18">
            <v>13902381</v>
          </cell>
          <cell r="AC18">
            <v>12816132</v>
          </cell>
          <cell r="AD18">
            <v>19497208</v>
          </cell>
          <cell r="AE18">
            <v>19907141</v>
          </cell>
          <cell r="AF18">
            <v>20447546</v>
          </cell>
          <cell r="AG18">
            <v>13482944</v>
          </cell>
          <cell r="AI18">
            <v>21180750</v>
          </cell>
        </row>
        <row r="19">
          <cell r="I19">
            <v>21833338</v>
          </cell>
          <cell r="J19">
            <v>18068049</v>
          </cell>
          <cell r="K19">
            <v>20133169</v>
          </cell>
          <cell r="L19">
            <v>27552321</v>
          </cell>
          <cell r="M19">
            <v>29780765</v>
          </cell>
          <cell r="N19">
            <v>33336113</v>
          </cell>
          <cell r="O19">
            <v>25285645</v>
          </cell>
          <cell r="P19">
            <v>11779392</v>
          </cell>
          <cell r="Q19">
            <v>11326363</v>
          </cell>
          <cell r="R19">
            <v>16360498</v>
          </cell>
          <cell r="S19">
            <v>15385539</v>
          </cell>
          <cell r="T19">
            <v>18642939</v>
          </cell>
          <cell r="U19">
            <v>16043366</v>
          </cell>
          <cell r="V19">
            <v>12042184</v>
          </cell>
          <cell r="W19">
            <v>14388236</v>
          </cell>
          <cell r="X19">
            <v>15026539</v>
          </cell>
          <cell r="Y19">
            <v>20783273</v>
          </cell>
          <cell r="Z19">
            <v>22656449</v>
          </cell>
          <cell r="AA19">
            <v>17450519</v>
          </cell>
          <cell r="AB19">
            <v>11980317</v>
          </cell>
          <cell r="AC19">
            <v>11001419</v>
          </cell>
          <cell r="AD19">
            <v>17494218</v>
          </cell>
          <cell r="AE19">
            <v>17885716</v>
          </cell>
          <cell r="AF19">
            <v>19655535</v>
          </cell>
          <cell r="AG19">
            <v>12393091</v>
          </cell>
          <cell r="AI19">
            <v>18068049</v>
          </cell>
        </row>
        <row r="20">
          <cell r="I20">
            <v>22951784</v>
          </cell>
          <cell r="J20">
            <v>19411871</v>
          </cell>
          <cell r="K20">
            <v>20807639</v>
          </cell>
          <cell r="L20">
            <v>30167151</v>
          </cell>
          <cell r="M20">
            <v>31944115</v>
          </cell>
          <cell r="N20">
            <v>35717680</v>
          </cell>
          <cell r="O20">
            <v>27733142</v>
          </cell>
          <cell r="P20">
            <v>13416106</v>
          </cell>
          <cell r="Q20">
            <v>13149263</v>
          </cell>
          <cell r="R20">
            <v>18558623</v>
          </cell>
          <cell r="S20">
            <v>16928547</v>
          </cell>
          <cell r="T20">
            <v>20796158</v>
          </cell>
          <cell r="U20">
            <v>17856625</v>
          </cell>
          <cell r="V20">
            <v>14167557</v>
          </cell>
          <cell r="W20">
            <v>15580286</v>
          </cell>
          <cell r="X20">
            <v>16243665</v>
          </cell>
          <cell r="Y20">
            <v>22645263</v>
          </cell>
          <cell r="Z20">
            <v>24651428</v>
          </cell>
          <cell r="AA20">
            <v>18870341</v>
          </cell>
          <cell r="AB20">
            <v>12923158</v>
          </cell>
          <cell r="AC20">
            <v>11710680</v>
          </cell>
          <cell r="AD20">
            <v>17207065</v>
          </cell>
          <cell r="AE20">
            <v>17989017</v>
          </cell>
          <cell r="AF20">
            <v>19424425</v>
          </cell>
          <cell r="AG20">
            <v>12740393</v>
          </cell>
          <cell r="AI20">
            <v>19411871</v>
          </cell>
        </row>
        <row r="21">
          <cell r="I21">
            <v>21888126</v>
          </cell>
          <cell r="J21">
            <v>17634052</v>
          </cell>
          <cell r="K21">
            <v>18095187</v>
          </cell>
          <cell r="L21">
            <v>26379242</v>
          </cell>
          <cell r="M21">
            <v>28265497</v>
          </cell>
          <cell r="N21">
            <v>31538829</v>
          </cell>
          <cell r="O21">
            <v>25742995</v>
          </cell>
          <cell r="P21">
            <v>11930014</v>
          </cell>
          <cell r="Q21">
            <v>11465037</v>
          </cell>
          <cell r="R21">
            <v>16668360</v>
          </cell>
          <cell r="S21">
            <v>15579112</v>
          </cell>
          <cell r="T21">
            <v>18507395</v>
          </cell>
          <cell r="U21">
            <v>16985594</v>
          </cell>
          <cell r="V21">
            <v>12702656</v>
          </cell>
          <cell r="W21">
            <v>13319816</v>
          </cell>
          <cell r="X21">
            <v>14962295</v>
          </cell>
          <cell r="Y21">
            <v>20477547</v>
          </cell>
          <cell r="Z21">
            <v>22202238</v>
          </cell>
          <cell r="AA21">
            <v>17881900</v>
          </cell>
          <cell r="AB21">
            <v>11849060</v>
          </cell>
          <cell r="AC21">
            <v>10955859</v>
          </cell>
          <cell r="AD21">
            <v>16276757</v>
          </cell>
          <cell r="AE21">
            <v>17345162</v>
          </cell>
          <cell r="AF21">
            <v>18416413</v>
          </cell>
          <cell r="AG21">
            <v>12368439</v>
          </cell>
          <cell r="AI21">
            <v>17634052</v>
          </cell>
        </row>
        <row r="22">
          <cell r="I22">
            <v>20613217</v>
          </cell>
          <cell r="J22">
            <v>16998655</v>
          </cell>
          <cell r="K22">
            <v>16157382</v>
          </cell>
          <cell r="L22">
            <v>24053933</v>
          </cell>
          <cell r="M22">
            <v>25833664</v>
          </cell>
          <cell r="N22">
            <v>28353989</v>
          </cell>
          <cell r="O22">
            <v>25792134</v>
          </cell>
          <cell r="P22">
            <v>10838399</v>
          </cell>
          <cell r="Q22">
            <v>10210886</v>
          </cell>
          <cell r="R22">
            <v>15160538</v>
          </cell>
          <cell r="S22">
            <v>14900295</v>
          </cell>
          <cell r="T22">
            <v>17906550</v>
          </cell>
          <cell r="U22">
            <v>15642548</v>
          </cell>
          <cell r="V22">
            <v>12755454</v>
          </cell>
          <cell r="W22">
            <v>11528943</v>
          </cell>
          <cell r="X22">
            <v>13371172</v>
          </cell>
          <cell r="Y22">
            <v>17788491</v>
          </cell>
          <cell r="Z22">
            <v>19228758</v>
          </cell>
          <cell r="AA22">
            <v>16155197</v>
          </cell>
          <cell r="AB22">
            <v>10572797</v>
          </cell>
          <cell r="AC22">
            <v>9240821</v>
          </cell>
          <cell r="AD22">
            <v>14524703</v>
          </cell>
          <cell r="AE22">
            <v>15538917</v>
          </cell>
          <cell r="AF22">
            <v>16595533</v>
          </cell>
          <cell r="AG22">
            <v>11175324</v>
          </cell>
          <cell r="AI22">
            <v>16998655</v>
          </cell>
        </row>
        <row r="23">
          <cell r="I23">
            <v>22385815</v>
          </cell>
          <cell r="J23">
            <v>18002891</v>
          </cell>
          <cell r="K23">
            <v>18324510</v>
          </cell>
          <cell r="L23">
            <v>26815484</v>
          </cell>
          <cell r="M23">
            <v>28428514</v>
          </cell>
          <cell r="N23">
            <v>32583055</v>
          </cell>
          <cell r="O23">
            <v>29750127</v>
          </cell>
          <cell r="P23">
            <v>11015126</v>
          </cell>
          <cell r="Q23">
            <v>9995619</v>
          </cell>
          <cell r="R23">
            <v>14043421</v>
          </cell>
          <cell r="S23">
            <v>13478086</v>
          </cell>
          <cell r="T23">
            <v>16488520</v>
          </cell>
          <cell r="U23">
            <v>14234688</v>
          </cell>
          <cell r="V23">
            <v>11846440</v>
          </cell>
          <cell r="W23">
            <v>11273084</v>
          </cell>
          <cell r="X23">
            <v>12039305</v>
          </cell>
          <cell r="Y23">
            <v>16960432</v>
          </cell>
          <cell r="Z23">
            <v>18509646</v>
          </cell>
          <cell r="AA23">
            <v>16449183</v>
          </cell>
          <cell r="AB23">
            <v>10130262</v>
          </cell>
          <cell r="AC23">
            <v>8881668</v>
          </cell>
          <cell r="AD23">
            <v>13193725</v>
          </cell>
          <cell r="AE23">
            <v>15568058</v>
          </cell>
          <cell r="AF23">
            <v>15933970</v>
          </cell>
          <cell r="AG23">
            <v>10664202</v>
          </cell>
          <cell r="AI23">
            <v>18002891</v>
          </cell>
        </row>
        <row r="24">
          <cell r="I24">
            <v>23768453</v>
          </cell>
          <cell r="J24">
            <v>18324936</v>
          </cell>
          <cell r="K24">
            <v>18878512</v>
          </cell>
          <cell r="L24">
            <v>27914337</v>
          </cell>
          <cell r="M24">
            <v>28601804</v>
          </cell>
          <cell r="N24">
            <v>30245910</v>
          </cell>
          <cell r="O24">
            <v>34004571</v>
          </cell>
          <cell r="P24">
            <v>12110411</v>
          </cell>
          <cell r="Q24">
            <v>11083438</v>
          </cell>
          <cell r="R24">
            <v>15343897</v>
          </cell>
          <cell r="S24">
            <v>14969635</v>
          </cell>
          <cell r="T24">
            <v>18666262</v>
          </cell>
          <cell r="U24">
            <v>15481292</v>
          </cell>
          <cell r="V24">
            <v>13284906</v>
          </cell>
          <cell r="W24">
            <v>13017475</v>
          </cell>
          <cell r="X24">
            <v>14829091</v>
          </cell>
          <cell r="Y24">
            <v>19995455</v>
          </cell>
          <cell r="Z24">
            <v>21889789</v>
          </cell>
          <cell r="AA24">
            <v>21078236</v>
          </cell>
          <cell r="AB24">
            <v>12597025</v>
          </cell>
          <cell r="AC24">
            <v>10657458</v>
          </cell>
          <cell r="AD24">
            <v>15495317</v>
          </cell>
          <cell r="AE24">
            <v>18465017</v>
          </cell>
          <cell r="AF24">
            <v>19517840</v>
          </cell>
          <cell r="AG24">
            <v>13204631</v>
          </cell>
          <cell r="AI24">
            <v>18324936</v>
          </cell>
        </row>
        <row r="25">
          <cell r="I25">
            <v>24439188</v>
          </cell>
          <cell r="J25">
            <v>17511077</v>
          </cell>
          <cell r="K25">
            <v>17029407</v>
          </cell>
          <cell r="L25">
            <v>28478482</v>
          </cell>
          <cell r="M25">
            <v>27331599</v>
          </cell>
          <cell r="N25">
            <v>28501886</v>
          </cell>
          <cell r="O25">
            <v>33601427</v>
          </cell>
          <cell r="P25">
            <v>11959891</v>
          </cell>
          <cell r="Q25">
            <v>10532270</v>
          </cell>
          <cell r="R25">
            <v>14568011</v>
          </cell>
          <cell r="S25">
            <v>14826348</v>
          </cell>
          <cell r="T25">
            <v>17824894</v>
          </cell>
          <cell r="U25">
            <v>15308585</v>
          </cell>
          <cell r="V25">
            <v>13515660</v>
          </cell>
          <cell r="W25">
            <v>12224629</v>
          </cell>
          <cell r="X25">
            <v>13139205</v>
          </cell>
          <cell r="Y25">
            <v>17481987</v>
          </cell>
          <cell r="Z25">
            <v>18778989</v>
          </cell>
          <cell r="AA25">
            <v>19411614</v>
          </cell>
          <cell r="AB25">
            <v>11166811</v>
          </cell>
          <cell r="AC25">
            <v>9837087</v>
          </cell>
          <cell r="AD25">
            <v>12908804</v>
          </cell>
          <cell r="AE25">
            <v>15714402</v>
          </cell>
          <cell r="AF25">
            <v>16934052</v>
          </cell>
          <cell r="AG25">
            <v>11407471</v>
          </cell>
          <cell r="AI25">
            <v>17511077</v>
          </cell>
        </row>
        <row r="26">
          <cell r="I26">
            <v>25531345</v>
          </cell>
          <cell r="J26">
            <v>18272305</v>
          </cell>
          <cell r="K26">
            <v>17316767</v>
          </cell>
          <cell r="L26">
            <v>27781708</v>
          </cell>
          <cell r="M26">
            <v>27063565</v>
          </cell>
          <cell r="N26">
            <v>28185379</v>
          </cell>
          <cell r="O26">
            <v>33781911</v>
          </cell>
          <cell r="P26">
            <v>12694146</v>
          </cell>
          <cell r="Q26">
            <v>10383914</v>
          </cell>
          <cell r="R26">
            <v>14623475</v>
          </cell>
          <cell r="S26">
            <v>15009371</v>
          </cell>
          <cell r="T26">
            <v>17262900</v>
          </cell>
          <cell r="U26">
            <v>15317205</v>
          </cell>
          <cell r="V26">
            <v>13779509</v>
          </cell>
          <cell r="W26">
            <v>11676072</v>
          </cell>
          <cell r="X26">
            <v>14190620</v>
          </cell>
          <cell r="Y26">
            <v>17494035</v>
          </cell>
          <cell r="Z26">
            <v>19438585</v>
          </cell>
          <cell r="AA26">
            <v>19754435</v>
          </cell>
          <cell r="AB26">
            <v>12287763</v>
          </cell>
          <cell r="AC26">
            <v>10314537</v>
          </cell>
          <cell r="AD26">
            <v>14287966</v>
          </cell>
          <cell r="AE26">
            <v>17503912</v>
          </cell>
          <cell r="AF26">
            <v>18113141</v>
          </cell>
          <cell r="AG26">
            <v>13059981</v>
          </cell>
          <cell r="AI26">
            <v>18272305</v>
          </cell>
        </row>
        <row r="28">
          <cell r="I28">
            <v>-6919</v>
          </cell>
          <cell r="J28">
            <v>-1060</v>
          </cell>
          <cell r="K28">
            <v>-6630</v>
          </cell>
          <cell r="L28">
            <v>-7045</v>
          </cell>
          <cell r="M28">
            <v>-1203</v>
          </cell>
          <cell r="N28">
            <v>-5321</v>
          </cell>
          <cell r="O28">
            <v>6642960</v>
          </cell>
          <cell r="P28">
            <v>4727179</v>
          </cell>
          <cell r="Q28">
            <v>5531909</v>
          </cell>
          <cell r="R28">
            <v>6303777</v>
          </cell>
          <cell r="S28">
            <v>7518316</v>
          </cell>
          <cell r="T28">
            <v>6447945</v>
          </cell>
          <cell r="U28">
            <v>5807807</v>
          </cell>
          <cell r="V28">
            <v>5902180</v>
          </cell>
          <cell r="W28">
            <v>7280421</v>
          </cell>
          <cell r="X28">
            <v>10164211</v>
          </cell>
          <cell r="Y28">
            <v>11813648</v>
          </cell>
          <cell r="Z28">
            <v>11557377</v>
          </cell>
          <cell r="AA28">
            <v>7023995</v>
          </cell>
          <cell r="AB28">
            <v>4886732</v>
          </cell>
          <cell r="AC28">
            <v>5391094</v>
          </cell>
          <cell r="AD28">
            <v>6867066</v>
          </cell>
          <cell r="AE28">
            <v>6941282</v>
          </cell>
          <cell r="AF28">
            <v>5387138</v>
          </cell>
          <cell r="AG28">
            <v>4754657</v>
          </cell>
          <cell r="AI28">
            <v>-1060</v>
          </cell>
        </row>
        <row r="29">
          <cell r="I29">
            <v>0</v>
          </cell>
          <cell r="J29">
            <v>146</v>
          </cell>
          <cell r="K29">
            <v>130</v>
          </cell>
          <cell r="L29">
            <v>-846</v>
          </cell>
          <cell r="M29">
            <v>-5645</v>
          </cell>
          <cell r="N29">
            <v>-17527</v>
          </cell>
          <cell r="O29">
            <v>7909363</v>
          </cell>
          <cell r="P29">
            <v>5321473</v>
          </cell>
          <cell r="Q29">
            <v>6475081</v>
          </cell>
          <cell r="R29">
            <v>7105572</v>
          </cell>
          <cell r="S29">
            <v>8317374</v>
          </cell>
          <cell r="T29">
            <v>7202866</v>
          </cell>
          <cell r="U29">
            <v>6444879</v>
          </cell>
          <cell r="V29">
            <v>6717608</v>
          </cell>
          <cell r="W29">
            <v>7929816</v>
          </cell>
          <cell r="X29">
            <v>10718108</v>
          </cell>
          <cell r="Y29">
            <v>13215708</v>
          </cell>
          <cell r="Z29">
            <v>12540430</v>
          </cell>
          <cell r="AA29">
            <v>8201971</v>
          </cell>
          <cell r="AB29">
            <v>5584335</v>
          </cell>
          <cell r="AC29">
            <v>6071789</v>
          </cell>
          <cell r="AD29">
            <v>8332832</v>
          </cell>
          <cell r="AE29">
            <v>8450064</v>
          </cell>
          <cell r="AF29">
            <v>6633994</v>
          </cell>
          <cell r="AG29">
            <v>5562879</v>
          </cell>
          <cell r="AI29">
            <v>146</v>
          </cell>
        </row>
        <row r="30">
          <cell r="I30">
            <v>-360</v>
          </cell>
          <cell r="J30">
            <v>-400</v>
          </cell>
          <cell r="K30">
            <v>209</v>
          </cell>
          <cell r="L30">
            <v>100</v>
          </cell>
          <cell r="M30">
            <v>3</v>
          </cell>
          <cell r="N30">
            <v>-11302</v>
          </cell>
          <cell r="O30">
            <v>6880161</v>
          </cell>
          <cell r="P30">
            <v>4737672</v>
          </cell>
          <cell r="Q30">
            <v>5469349</v>
          </cell>
          <cell r="R30">
            <v>5824846</v>
          </cell>
          <cell r="S30">
            <v>6791944</v>
          </cell>
          <cell r="T30">
            <v>6310463</v>
          </cell>
          <cell r="U30">
            <v>5563490</v>
          </cell>
          <cell r="V30">
            <v>6044849</v>
          </cell>
          <cell r="W30">
            <v>6831420</v>
          </cell>
          <cell r="X30">
            <v>8920798</v>
          </cell>
          <cell r="Y30">
            <v>11279915</v>
          </cell>
          <cell r="Z30">
            <v>11051690</v>
          </cell>
          <cell r="AA30">
            <v>7221992</v>
          </cell>
          <cell r="AB30">
            <v>4829456</v>
          </cell>
          <cell r="AC30">
            <v>4974841</v>
          </cell>
          <cell r="AD30">
            <v>7004878</v>
          </cell>
          <cell r="AE30">
            <v>6867218</v>
          </cell>
          <cell r="AF30">
            <v>6220868</v>
          </cell>
          <cell r="AG30">
            <v>4574372</v>
          </cell>
          <cell r="AI30">
            <v>-400</v>
          </cell>
        </row>
        <row r="31">
          <cell r="I31">
            <v>0</v>
          </cell>
          <cell r="J31">
            <v>66</v>
          </cell>
          <cell r="K31">
            <v>57</v>
          </cell>
          <cell r="L31">
            <v>23</v>
          </cell>
          <cell r="M31">
            <v>-1692</v>
          </cell>
          <cell r="N31">
            <v>-7211</v>
          </cell>
          <cell r="O31">
            <v>6225487</v>
          </cell>
          <cell r="P31">
            <v>4175681</v>
          </cell>
          <cell r="Q31">
            <v>5089361</v>
          </cell>
          <cell r="R31">
            <v>5580328</v>
          </cell>
          <cell r="S31">
            <v>6437456</v>
          </cell>
          <cell r="T31">
            <v>6130105</v>
          </cell>
          <cell r="U31">
            <v>5419496</v>
          </cell>
          <cell r="V31">
            <v>4922980</v>
          </cell>
          <cell r="W31">
            <v>6328977</v>
          </cell>
          <cell r="X31">
            <v>7722667</v>
          </cell>
          <cell r="Y31">
            <v>9793356</v>
          </cell>
          <cell r="Z31">
            <v>9985505</v>
          </cell>
          <cell r="AA31">
            <v>6502904</v>
          </cell>
          <cell r="AB31">
            <v>4361673</v>
          </cell>
          <cell r="AC31">
            <v>4467734</v>
          </cell>
          <cell r="AD31">
            <v>6335542</v>
          </cell>
          <cell r="AE31">
            <v>6080264</v>
          </cell>
          <cell r="AF31">
            <v>5622805</v>
          </cell>
          <cell r="AG31">
            <v>4036742</v>
          </cell>
          <cell r="AI31">
            <v>66</v>
          </cell>
        </row>
        <row r="32">
          <cell r="I32">
            <v>0</v>
          </cell>
          <cell r="J32">
            <v>34</v>
          </cell>
          <cell r="K32">
            <v>0</v>
          </cell>
          <cell r="L32">
            <v>-27128</v>
          </cell>
          <cell r="M32">
            <v>-1338</v>
          </cell>
          <cell r="N32">
            <v>-6704</v>
          </cell>
          <cell r="O32">
            <v>8892227</v>
          </cell>
          <cell r="P32">
            <v>5602019</v>
          </cell>
          <cell r="Q32">
            <v>6220891</v>
          </cell>
          <cell r="R32">
            <v>7382625</v>
          </cell>
          <cell r="S32">
            <v>8025339</v>
          </cell>
          <cell r="T32">
            <v>8289065</v>
          </cell>
          <cell r="U32">
            <v>6968919</v>
          </cell>
          <cell r="V32">
            <v>5813450</v>
          </cell>
          <cell r="W32">
            <v>7991894</v>
          </cell>
          <cell r="X32">
            <v>9421048</v>
          </cell>
          <cell r="Y32">
            <v>12571268</v>
          </cell>
          <cell r="Z32">
            <v>12730812</v>
          </cell>
          <cell r="AA32">
            <v>8325179</v>
          </cell>
          <cell r="AB32">
            <v>5262839</v>
          </cell>
          <cell r="AC32">
            <v>5525475</v>
          </cell>
          <cell r="AD32">
            <v>7824875</v>
          </cell>
          <cell r="AE32">
            <v>7437712</v>
          </cell>
          <cell r="AF32">
            <v>7148986</v>
          </cell>
          <cell r="AG32">
            <v>5194114</v>
          </cell>
          <cell r="AI32">
            <v>34</v>
          </cell>
        </row>
        <row r="33">
          <cell r="I33">
            <v>14</v>
          </cell>
          <cell r="J33">
            <v>-14</v>
          </cell>
          <cell r="K33">
            <v>88</v>
          </cell>
          <cell r="L33">
            <v>-2767</v>
          </cell>
          <cell r="M33">
            <v>-76</v>
          </cell>
          <cell r="N33">
            <v>-10467</v>
          </cell>
          <cell r="O33">
            <v>7730456</v>
          </cell>
          <cell r="P33">
            <v>4861251</v>
          </cell>
          <cell r="Q33">
            <v>5321871</v>
          </cell>
          <cell r="R33">
            <v>6251391</v>
          </cell>
          <cell r="S33">
            <v>7039342</v>
          </cell>
          <cell r="T33">
            <v>7489780</v>
          </cell>
          <cell r="U33">
            <v>5852916</v>
          </cell>
          <cell r="V33">
            <v>5132761</v>
          </cell>
          <cell r="W33">
            <v>6391379</v>
          </cell>
          <cell r="X33">
            <v>7408083</v>
          </cell>
          <cell r="Y33">
            <v>10430216</v>
          </cell>
          <cell r="Z33">
            <v>10227146</v>
          </cell>
          <cell r="AA33">
            <v>7187608</v>
          </cell>
          <cell r="AB33">
            <v>4408861</v>
          </cell>
          <cell r="AC33">
            <v>4443603</v>
          </cell>
          <cell r="AD33">
            <v>6308025</v>
          </cell>
          <cell r="AE33">
            <v>5307926</v>
          </cell>
          <cell r="AF33">
            <v>5197472</v>
          </cell>
          <cell r="AG33">
            <v>3678691</v>
          </cell>
          <cell r="AI33">
            <v>-14</v>
          </cell>
        </row>
        <row r="34">
          <cell r="I34">
            <v>-14</v>
          </cell>
          <cell r="J34">
            <v>-25603</v>
          </cell>
          <cell r="K34">
            <v>-83</v>
          </cell>
          <cell r="L34">
            <v>0</v>
          </cell>
          <cell r="M34">
            <v>-16887</v>
          </cell>
          <cell r="N34">
            <v>-2797</v>
          </cell>
          <cell r="O34">
            <v>8148309</v>
          </cell>
          <cell r="P34">
            <v>5322219</v>
          </cell>
          <cell r="Q34">
            <v>5515347</v>
          </cell>
          <cell r="R34">
            <v>6960684</v>
          </cell>
          <cell r="S34">
            <v>7312886</v>
          </cell>
          <cell r="T34">
            <v>8277588</v>
          </cell>
          <cell r="U34">
            <v>6457737</v>
          </cell>
          <cell r="V34">
            <v>5944267</v>
          </cell>
          <cell r="W34">
            <v>7610138</v>
          </cell>
          <cell r="X34">
            <v>8765837</v>
          </cell>
          <cell r="Y34">
            <v>12349371</v>
          </cell>
          <cell r="Z34">
            <v>12160729</v>
          </cell>
          <cell r="AA34">
            <v>8614832</v>
          </cell>
          <cell r="AB34">
            <v>5098588</v>
          </cell>
          <cell r="AC34">
            <v>5007016</v>
          </cell>
          <cell r="AD34">
            <v>7949983</v>
          </cell>
          <cell r="AE34">
            <v>8213093</v>
          </cell>
          <cell r="AF34">
            <v>8051150</v>
          </cell>
          <cell r="AG34">
            <v>5511291</v>
          </cell>
          <cell r="AI34">
            <v>-25603</v>
          </cell>
        </row>
        <row r="35">
          <cell r="I35">
            <v>0</v>
          </cell>
          <cell r="J35">
            <v>107</v>
          </cell>
          <cell r="K35">
            <v>-1752</v>
          </cell>
          <cell r="L35">
            <v>0</v>
          </cell>
          <cell r="M35">
            <v>34</v>
          </cell>
          <cell r="N35">
            <v>-4619</v>
          </cell>
          <cell r="O35">
            <v>6898465</v>
          </cell>
          <cell r="P35">
            <v>5852083</v>
          </cell>
          <cell r="Q35">
            <v>6000732</v>
          </cell>
          <cell r="R35">
            <v>7436042</v>
          </cell>
          <cell r="S35">
            <v>7779406</v>
          </cell>
          <cell r="T35">
            <v>9148847</v>
          </cell>
          <cell r="U35">
            <v>7413544</v>
          </cell>
          <cell r="V35">
            <v>6679859</v>
          </cell>
          <cell r="W35">
            <v>8901091</v>
          </cell>
          <cell r="X35">
            <v>9937010</v>
          </cell>
          <cell r="Y35">
            <v>13848281</v>
          </cell>
          <cell r="Z35">
            <v>14567628</v>
          </cell>
          <cell r="AA35">
            <v>10106129</v>
          </cell>
          <cell r="AB35">
            <v>5995576</v>
          </cell>
          <cell r="AC35">
            <v>5879597</v>
          </cell>
          <cell r="AD35">
            <v>8308376</v>
          </cell>
          <cell r="AE35">
            <v>7944679</v>
          </cell>
          <cell r="AF35">
            <v>7946299</v>
          </cell>
          <cell r="AG35">
            <v>5567215</v>
          </cell>
          <cell r="AI35">
            <v>107</v>
          </cell>
        </row>
        <row r="36">
          <cell r="I36">
            <v>0</v>
          </cell>
          <cell r="J36">
            <v>-321</v>
          </cell>
          <cell r="K36">
            <v>-529</v>
          </cell>
          <cell r="L36">
            <v>5</v>
          </cell>
          <cell r="M36">
            <v>-20102</v>
          </cell>
          <cell r="N36">
            <v>-74</v>
          </cell>
          <cell r="O36">
            <v>4274983</v>
          </cell>
          <cell r="P36">
            <v>5106879</v>
          </cell>
          <cell r="Q36">
            <v>5097406</v>
          </cell>
          <cell r="R36">
            <v>6491247</v>
          </cell>
          <cell r="S36">
            <v>6726621</v>
          </cell>
          <cell r="T36">
            <v>7531022</v>
          </cell>
          <cell r="U36">
            <v>6181695</v>
          </cell>
          <cell r="V36">
            <v>4914045</v>
          </cell>
          <cell r="W36">
            <v>6936988</v>
          </cell>
          <cell r="X36">
            <v>7687878</v>
          </cell>
          <cell r="Y36">
            <v>10684128</v>
          </cell>
          <cell r="Z36">
            <v>11333305</v>
          </cell>
          <cell r="AA36">
            <v>7768608</v>
          </cell>
          <cell r="AB36">
            <v>4950697</v>
          </cell>
          <cell r="AC36">
            <v>4792258</v>
          </cell>
          <cell r="AD36">
            <v>6877801</v>
          </cell>
          <cell r="AE36">
            <v>6516363</v>
          </cell>
          <cell r="AF36">
            <v>6814218</v>
          </cell>
          <cell r="AG36">
            <v>4703044</v>
          </cell>
          <cell r="AI36">
            <v>-321</v>
          </cell>
        </row>
        <row r="37">
          <cell r="I37">
            <v>14</v>
          </cell>
          <cell r="J37">
            <v>147</v>
          </cell>
          <cell r="K37">
            <v>-732</v>
          </cell>
          <cell r="L37">
            <v>10</v>
          </cell>
          <cell r="M37">
            <v>-5076</v>
          </cell>
          <cell r="N37">
            <v>-1045</v>
          </cell>
          <cell r="O37">
            <v>10631</v>
          </cell>
          <cell r="P37">
            <v>5904562</v>
          </cell>
          <cell r="Q37">
            <v>5692588</v>
          </cell>
          <cell r="R37">
            <v>7518264</v>
          </cell>
          <cell r="S37">
            <v>7444140</v>
          </cell>
          <cell r="T37">
            <v>8636408</v>
          </cell>
          <cell r="U37">
            <v>7231850</v>
          </cell>
          <cell r="V37">
            <v>6033877</v>
          </cell>
          <cell r="W37">
            <v>8851290</v>
          </cell>
          <cell r="X37">
            <v>9386751</v>
          </cell>
          <cell r="Y37">
            <v>13711949</v>
          </cell>
          <cell r="Z37">
            <v>13869700</v>
          </cell>
          <cell r="AA37">
            <v>9849717</v>
          </cell>
          <cell r="AB37">
            <v>6135028</v>
          </cell>
          <cell r="AC37">
            <v>5523988</v>
          </cell>
          <cell r="AD37">
            <v>7688125</v>
          </cell>
          <cell r="AE37">
            <v>7343841</v>
          </cell>
          <cell r="AF37">
            <v>7393602</v>
          </cell>
          <cell r="AG37">
            <v>5351983</v>
          </cell>
          <cell r="AI37">
            <v>147</v>
          </cell>
        </row>
        <row r="38">
          <cell r="I38">
            <v>-7</v>
          </cell>
          <cell r="J38">
            <v>187</v>
          </cell>
          <cell r="K38">
            <v>30</v>
          </cell>
          <cell r="L38">
            <v>-420</v>
          </cell>
          <cell r="M38">
            <v>0</v>
          </cell>
          <cell r="N38">
            <v>-2382</v>
          </cell>
          <cell r="O38">
            <v>10586</v>
          </cell>
          <cell r="P38">
            <v>6375317</v>
          </cell>
          <cell r="Q38">
            <v>6265859</v>
          </cell>
          <cell r="R38">
            <v>7809546</v>
          </cell>
          <cell r="S38">
            <v>7822957</v>
          </cell>
          <cell r="T38">
            <v>8777391</v>
          </cell>
          <cell r="U38">
            <v>7869121</v>
          </cell>
          <cell r="V38">
            <v>5734928</v>
          </cell>
          <cell r="W38">
            <v>8007221</v>
          </cell>
          <cell r="X38">
            <v>9018568</v>
          </cell>
          <cell r="Y38">
            <v>12484741</v>
          </cell>
          <cell r="Z38">
            <v>13302340</v>
          </cell>
          <cell r="AA38">
            <v>9833883</v>
          </cell>
          <cell r="AB38">
            <v>6335717</v>
          </cell>
          <cell r="AC38">
            <v>5851255</v>
          </cell>
          <cell r="AD38">
            <v>9069240</v>
          </cell>
          <cell r="AE38">
            <v>8609899</v>
          </cell>
          <cell r="AF38">
            <v>8830621</v>
          </cell>
          <cell r="AG38">
            <v>6490095</v>
          </cell>
          <cell r="AI38">
            <v>187</v>
          </cell>
        </row>
        <row r="39">
          <cell r="I39">
            <v>0</v>
          </cell>
          <cell r="J39">
            <v>110</v>
          </cell>
          <cell r="K39">
            <v>-454</v>
          </cell>
          <cell r="L39">
            <v>0</v>
          </cell>
          <cell r="M39">
            <v>-1528</v>
          </cell>
          <cell r="N39">
            <v>-2518</v>
          </cell>
          <cell r="O39">
            <v>11502</v>
          </cell>
          <cell r="P39">
            <v>5794576</v>
          </cell>
          <cell r="Q39">
            <v>5228105</v>
          </cell>
          <cell r="R39">
            <v>6872163</v>
          </cell>
          <cell r="S39">
            <v>6620994</v>
          </cell>
          <cell r="T39">
            <v>7948096</v>
          </cell>
          <cell r="U39">
            <v>6803525</v>
          </cell>
          <cell r="V39">
            <v>5251109</v>
          </cell>
          <cell r="W39">
            <v>7792758</v>
          </cell>
          <cell r="X39">
            <v>8735671</v>
          </cell>
          <cell r="Y39">
            <v>12904068</v>
          </cell>
          <cell r="Z39">
            <v>13311601</v>
          </cell>
          <cell r="AA39">
            <v>10339581</v>
          </cell>
          <cell r="AB39">
            <v>6034771</v>
          </cell>
          <cell r="AC39">
            <v>5207869</v>
          </cell>
          <cell r="AD39">
            <v>7697079</v>
          </cell>
          <cell r="AE39">
            <v>8125240</v>
          </cell>
          <cell r="AF39">
            <v>7928975</v>
          </cell>
          <cell r="AG39">
            <v>5756662</v>
          </cell>
          <cell r="AI39">
            <v>110</v>
          </cell>
        </row>
        <row r="40">
          <cell r="I40">
            <v>32</v>
          </cell>
          <cell r="J40">
            <v>-8524</v>
          </cell>
          <cell r="K40">
            <v>144</v>
          </cell>
          <cell r="L40">
            <v>14</v>
          </cell>
          <cell r="M40">
            <v>21</v>
          </cell>
          <cell r="N40">
            <v>-1027</v>
          </cell>
          <cell r="O40">
            <v>5863</v>
          </cell>
          <cell r="P40">
            <v>5964328</v>
          </cell>
          <cell r="Q40">
            <v>5188851</v>
          </cell>
          <cell r="R40">
            <v>6907042</v>
          </cell>
          <cell r="S40">
            <v>6572505</v>
          </cell>
          <cell r="T40">
            <v>8047986</v>
          </cell>
          <cell r="U40">
            <v>6837142</v>
          </cell>
          <cell r="V40">
            <v>5419117</v>
          </cell>
          <cell r="W40">
            <v>6928849</v>
          </cell>
          <cell r="X40">
            <v>7632422</v>
          </cell>
          <cell r="Y40">
            <v>11116566</v>
          </cell>
          <cell r="Z40">
            <v>11949820</v>
          </cell>
          <cell r="AA40">
            <v>9217078</v>
          </cell>
          <cell r="AB40">
            <v>5642046</v>
          </cell>
          <cell r="AC40">
            <v>5094379</v>
          </cell>
          <cell r="AD40">
            <v>6747678</v>
          </cell>
          <cell r="AE40">
            <v>7102965</v>
          </cell>
          <cell r="AF40">
            <v>7331147</v>
          </cell>
          <cell r="AG40">
            <v>5058377</v>
          </cell>
          <cell r="AI40">
            <v>-8524</v>
          </cell>
        </row>
        <row r="41">
          <cell r="I41">
            <v>0</v>
          </cell>
          <cell r="J41">
            <v>49</v>
          </cell>
          <cell r="K41">
            <v>-3178</v>
          </cell>
          <cell r="L41">
            <v>-635</v>
          </cell>
          <cell r="M41">
            <v>33</v>
          </cell>
          <cell r="N41">
            <v>236</v>
          </cell>
          <cell r="O41">
            <v>-1463</v>
          </cell>
          <cell r="P41">
            <v>5287307</v>
          </cell>
          <cell r="Q41">
            <v>4696070</v>
          </cell>
          <cell r="R41">
            <v>6223977</v>
          </cell>
          <cell r="S41">
            <v>5805651</v>
          </cell>
          <cell r="T41">
            <v>7187792</v>
          </cell>
          <cell r="U41">
            <v>6322188</v>
          </cell>
          <cell r="V41">
            <v>4811392</v>
          </cell>
          <cell r="W41">
            <v>6584701</v>
          </cell>
          <cell r="X41">
            <v>7294242</v>
          </cell>
          <cell r="Y41">
            <v>10738598</v>
          </cell>
          <cell r="Z41">
            <v>11502913</v>
          </cell>
          <cell r="AA41">
            <v>8843485</v>
          </cell>
          <cell r="AB41">
            <v>5432624</v>
          </cell>
          <cell r="AC41">
            <v>4846664</v>
          </cell>
          <cell r="AD41">
            <v>6687221</v>
          </cell>
          <cell r="AE41">
            <v>7041652</v>
          </cell>
          <cell r="AF41">
            <v>7520663</v>
          </cell>
          <cell r="AG41">
            <v>5253301</v>
          </cell>
          <cell r="AI41">
            <v>49</v>
          </cell>
        </row>
        <row r="42">
          <cell r="I42">
            <v>0</v>
          </cell>
          <cell r="J42">
            <v>-256</v>
          </cell>
          <cell r="K42">
            <v>149</v>
          </cell>
          <cell r="L42">
            <v>-400</v>
          </cell>
          <cell r="M42">
            <v>-4213</v>
          </cell>
          <cell r="N42">
            <v>-47</v>
          </cell>
          <cell r="O42">
            <v>7038</v>
          </cell>
          <cell r="P42">
            <v>4652731</v>
          </cell>
          <cell r="Q42">
            <v>4214305</v>
          </cell>
          <cell r="R42">
            <v>5700287</v>
          </cell>
          <cell r="S42">
            <v>5406715</v>
          </cell>
          <cell r="T42">
            <v>6478344</v>
          </cell>
          <cell r="U42">
            <v>5820953</v>
          </cell>
          <cell r="V42">
            <v>4505380</v>
          </cell>
          <cell r="W42">
            <v>6043857</v>
          </cell>
          <cell r="X42">
            <v>7191819</v>
          </cell>
          <cell r="Y42">
            <v>10205799</v>
          </cell>
          <cell r="Z42">
            <v>10829717</v>
          </cell>
          <cell r="AA42">
            <v>8995594</v>
          </cell>
          <cell r="AB42">
            <v>5272034</v>
          </cell>
          <cell r="AC42">
            <v>4647333</v>
          </cell>
          <cell r="AD42">
            <v>6647612</v>
          </cell>
          <cell r="AE42">
            <v>7064845</v>
          </cell>
          <cell r="AF42">
            <v>7424784</v>
          </cell>
          <cell r="AG42">
            <v>5250668</v>
          </cell>
          <cell r="AI42">
            <v>-256</v>
          </cell>
        </row>
        <row r="43">
          <cell r="I43">
            <v>-24</v>
          </cell>
          <cell r="J43">
            <v>142</v>
          </cell>
          <cell r="K43">
            <v>36</v>
          </cell>
          <cell r="L43">
            <v>-415</v>
          </cell>
          <cell r="M43">
            <v>-100</v>
          </cell>
          <cell r="N43">
            <v>-4227</v>
          </cell>
          <cell r="O43">
            <v>5990</v>
          </cell>
          <cell r="P43">
            <v>5066325</v>
          </cell>
          <cell r="Q43">
            <v>4558065</v>
          </cell>
          <cell r="R43">
            <v>6096421</v>
          </cell>
          <cell r="S43">
            <v>5854005</v>
          </cell>
          <cell r="T43">
            <v>7243306</v>
          </cell>
          <cell r="U43">
            <v>6325373</v>
          </cell>
          <cell r="V43">
            <v>5164831</v>
          </cell>
          <cell r="W43">
            <v>6350420</v>
          </cell>
          <cell r="X43">
            <v>7684053</v>
          </cell>
          <cell r="Y43">
            <v>10817968</v>
          </cell>
          <cell r="Z43">
            <v>11662654</v>
          </cell>
          <cell r="AA43">
            <v>9748490</v>
          </cell>
          <cell r="AB43">
            <v>5723163</v>
          </cell>
          <cell r="AC43">
            <v>4877279</v>
          </cell>
          <cell r="AD43">
            <v>6506421</v>
          </cell>
          <cell r="AE43">
            <v>7253576</v>
          </cell>
          <cell r="AF43">
            <v>7419885</v>
          </cell>
          <cell r="AG43">
            <v>5501117</v>
          </cell>
          <cell r="AI43">
            <v>142</v>
          </cell>
        </row>
        <row r="44">
          <cell r="I44">
            <v>1</v>
          </cell>
          <cell r="J44">
            <v>187</v>
          </cell>
          <cell r="K44">
            <v>-67</v>
          </cell>
          <cell r="L44">
            <v>93</v>
          </cell>
          <cell r="M44">
            <v>-3612</v>
          </cell>
          <cell r="N44">
            <v>-5963</v>
          </cell>
          <cell r="O44">
            <v>4750</v>
          </cell>
          <cell r="P44">
            <v>7127006</v>
          </cell>
          <cell r="Q44">
            <v>6400916</v>
          </cell>
          <cell r="R44">
            <v>8104414</v>
          </cell>
          <cell r="S44">
            <v>8060577</v>
          </cell>
          <cell r="T44">
            <v>9800797</v>
          </cell>
          <cell r="U44">
            <v>8504566</v>
          </cell>
          <cell r="V44">
            <v>7216797</v>
          </cell>
          <cell r="W44">
            <v>8130045</v>
          </cell>
          <cell r="X44">
            <v>9707459</v>
          </cell>
          <cell r="Y44">
            <v>14129121</v>
          </cell>
          <cell r="Z44">
            <v>15195087</v>
          </cell>
          <cell r="AA44">
            <v>13813120</v>
          </cell>
          <cell r="AB44">
            <v>7500272</v>
          </cell>
          <cell r="AC44">
            <v>6442529</v>
          </cell>
          <cell r="AD44">
            <v>8388197</v>
          </cell>
          <cell r="AE44">
            <v>9640048</v>
          </cell>
          <cell r="AF44">
            <v>9975876</v>
          </cell>
          <cell r="AG44">
            <v>7250237</v>
          </cell>
          <cell r="AI44">
            <v>187</v>
          </cell>
        </row>
        <row r="45">
          <cell r="I45">
            <v>0</v>
          </cell>
          <cell r="J45">
            <v>165</v>
          </cell>
          <cell r="K45">
            <v>-859</v>
          </cell>
          <cell r="L45">
            <v>-125</v>
          </cell>
          <cell r="M45">
            <v>-345</v>
          </cell>
          <cell r="N45">
            <v>-15992</v>
          </cell>
          <cell r="O45">
            <v>12371</v>
          </cell>
          <cell r="P45">
            <v>7068289</v>
          </cell>
          <cell r="Q45">
            <v>5710051</v>
          </cell>
          <cell r="R45">
            <v>7153422</v>
          </cell>
          <cell r="S45">
            <v>7003364</v>
          </cell>
          <cell r="T45">
            <v>8647174</v>
          </cell>
          <cell r="U45">
            <v>7522905</v>
          </cell>
          <cell r="V45">
            <v>6632543</v>
          </cell>
          <cell r="W45">
            <v>6804705</v>
          </cell>
          <cell r="X45">
            <v>7922376</v>
          </cell>
          <cell r="Y45">
            <v>11152093</v>
          </cell>
          <cell r="Z45">
            <v>12377666</v>
          </cell>
          <cell r="AA45">
            <v>11590701</v>
          </cell>
          <cell r="AB45">
            <v>6352513</v>
          </cell>
          <cell r="AC45">
            <v>5143727</v>
          </cell>
          <cell r="AD45">
            <v>6137069</v>
          </cell>
          <cell r="AE45">
            <v>7304815</v>
          </cell>
          <cell r="AF45">
            <v>7757278</v>
          </cell>
          <cell r="AG45">
            <v>5595301</v>
          </cell>
          <cell r="AI45">
            <v>165</v>
          </cell>
        </row>
        <row r="46">
          <cell r="I46">
            <v>10</v>
          </cell>
          <cell r="J46">
            <v>45</v>
          </cell>
          <cell r="K46">
            <v>70</v>
          </cell>
          <cell r="L46">
            <v>-711</v>
          </cell>
          <cell r="M46">
            <v>-147</v>
          </cell>
          <cell r="N46">
            <v>-12018</v>
          </cell>
          <cell r="O46">
            <v>1057</v>
          </cell>
          <cell r="P46">
            <v>6813557</v>
          </cell>
          <cell r="Q46">
            <v>5449613</v>
          </cell>
          <cell r="R46">
            <v>7035490</v>
          </cell>
          <cell r="S46">
            <v>7021994</v>
          </cell>
          <cell r="T46">
            <v>8449530</v>
          </cell>
          <cell r="U46">
            <v>7348722</v>
          </cell>
          <cell r="V46">
            <v>6543318</v>
          </cell>
          <cell r="W46">
            <v>7090371</v>
          </cell>
          <cell r="X46">
            <v>8463912</v>
          </cell>
          <cell r="Y46">
            <v>11992545</v>
          </cell>
          <cell r="Z46">
            <v>12997689</v>
          </cell>
          <cell r="AA46">
            <v>12790159</v>
          </cell>
          <cell r="AB46">
            <v>7017948</v>
          </cell>
          <cell r="AC46">
            <v>5514857</v>
          </cell>
          <cell r="AD46">
            <v>6893246</v>
          </cell>
          <cell r="AE46">
            <v>8091043</v>
          </cell>
          <cell r="AF46">
            <v>8800870</v>
          </cell>
          <cell r="AG46">
            <v>6210091</v>
          </cell>
          <cell r="AI46">
            <v>45</v>
          </cell>
        </row>
        <row r="47">
          <cell r="I47">
            <v>0</v>
          </cell>
          <cell r="J47">
            <v>0</v>
          </cell>
          <cell r="K47">
            <v>70</v>
          </cell>
          <cell r="L47">
            <v>-2190</v>
          </cell>
          <cell r="M47">
            <v>-1436</v>
          </cell>
          <cell r="N47">
            <v>-42243</v>
          </cell>
          <cell r="O47">
            <v>571</v>
          </cell>
          <cell r="P47">
            <v>7575281</v>
          </cell>
          <cell r="Q47">
            <v>5651013</v>
          </cell>
          <cell r="R47">
            <v>6779047</v>
          </cell>
          <cell r="S47">
            <v>7521607</v>
          </cell>
          <cell r="T47">
            <v>8571040</v>
          </cell>
          <cell r="U47">
            <v>7367030</v>
          </cell>
          <cell r="V47">
            <v>6923581</v>
          </cell>
          <cell r="W47">
            <v>6865967</v>
          </cell>
          <cell r="X47">
            <v>8792184</v>
          </cell>
          <cell r="Y47">
            <v>11672272</v>
          </cell>
          <cell r="Z47">
            <v>13161790</v>
          </cell>
          <cell r="AA47">
            <v>13050798</v>
          </cell>
          <cell r="AB47">
            <v>7466886</v>
          </cell>
          <cell r="AC47">
            <v>5733132</v>
          </cell>
          <cell r="AD47">
            <v>6755687</v>
          </cell>
          <cell r="AE47">
            <v>8344725</v>
          </cell>
          <cell r="AF47">
            <v>8441365</v>
          </cell>
          <cell r="AG47">
            <v>6538681</v>
          </cell>
          <cell r="AI47">
            <v>0</v>
          </cell>
        </row>
        <row r="49">
          <cell r="I49">
            <v>0</v>
          </cell>
          <cell r="J49">
            <v>110</v>
          </cell>
          <cell r="K49">
            <v>-970</v>
          </cell>
          <cell r="L49">
            <v>-1307</v>
          </cell>
          <cell r="M49">
            <v>-267</v>
          </cell>
          <cell r="N49">
            <v>-3096</v>
          </cell>
          <cell r="O49">
            <v>1836171</v>
          </cell>
          <cell r="P49">
            <v>2072831</v>
          </cell>
          <cell r="Q49">
            <v>1792198</v>
          </cell>
          <cell r="R49">
            <v>2148566</v>
          </cell>
          <cell r="S49">
            <v>2246625</v>
          </cell>
          <cell r="T49">
            <v>1971559</v>
          </cell>
          <cell r="U49">
            <v>1894232</v>
          </cell>
          <cell r="V49">
            <v>1868389</v>
          </cell>
          <cell r="W49">
            <v>1851130</v>
          </cell>
          <cell r="X49">
            <v>2567302</v>
          </cell>
          <cell r="Y49">
            <v>2405917</v>
          </cell>
          <cell r="Z49">
            <v>2195043</v>
          </cell>
          <cell r="AA49">
            <v>1873608</v>
          </cell>
          <cell r="AB49">
            <v>1413978</v>
          </cell>
          <cell r="AC49">
            <v>1684159</v>
          </cell>
          <cell r="AD49">
            <v>1851218</v>
          </cell>
          <cell r="AE49">
            <v>1927300</v>
          </cell>
          <cell r="AF49">
            <v>1865334</v>
          </cell>
          <cell r="AG49">
            <v>1973170</v>
          </cell>
          <cell r="AI49">
            <v>110</v>
          </cell>
        </row>
        <row r="50">
          <cell r="I50">
            <v>0</v>
          </cell>
          <cell r="J50">
            <v>-488</v>
          </cell>
          <cell r="K50">
            <v>-722</v>
          </cell>
          <cell r="L50">
            <v>0</v>
          </cell>
          <cell r="M50">
            <v>-1793</v>
          </cell>
          <cell r="N50">
            <v>-2315</v>
          </cell>
          <cell r="O50">
            <v>1984036</v>
          </cell>
          <cell r="P50">
            <v>1916327</v>
          </cell>
          <cell r="Q50">
            <v>2212168</v>
          </cell>
          <cell r="R50">
            <v>2269001</v>
          </cell>
          <cell r="S50">
            <v>2582540</v>
          </cell>
          <cell r="T50">
            <v>2309276</v>
          </cell>
          <cell r="U50">
            <v>2178770</v>
          </cell>
          <cell r="V50">
            <v>2122735</v>
          </cell>
          <cell r="W50">
            <v>2106079</v>
          </cell>
          <cell r="X50">
            <v>2414969</v>
          </cell>
          <cell r="Y50">
            <v>2618151</v>
          </cell>
          <cell r="Z50">
            <v>2619958</v>
          </cell>
          <cell r="AA50">
            <v>2185166</v>
          </cell>
          <cell r="AB50">
            <v>1856130</v>
          </cell>
          <cell r="AC50">
            <v>2175223</v>
          </cell>
          <cell r="AD50">
            <v>2606344</v>
          </cell>
          <cell r="AE50">
            <v>2684316</v>
          </cell>
          <cell r="AF50">
            <v>2354265</v>
          </cell>
          <cell r="AG50">
            <v>2154508</v>
          </cell>
          <cell r="AI50">
            <v>-488</v>
          </cell>
        </row>
        <row r="51">
          <cell r="I51">
            <v>0</v>
          </cell>
          <cell r="J51">
            <v>0</v>
          </cell>
          <cell r="K51">
            <v>-47800</v>
          </cell>
          <cell r="L51">
            <v>-2883</v>
          </cell>
          <cell r="M51">
            <v>0</v>
          </cell>
          <cell r="N51">
            <v>-9082</v>
          </cell>
          <cell r="O51">
            <v>1721020</v>
          </cell>
          <cell r="P51">
            <v>1563301</v>
          </cell>
          <cell r="Q51">
            <v>1647462</v>
          </cell>
          <cell r="R51">
            <v>1632175</v>
          </cell>
          <cell r="S51">
            <v>1849700</v>
          </cell>
          <cell r="T51">
            <v>1881771</v>
          </cell>
          <cell r="U51">
            <v>1696327</v>
          </cell>
          <cell r="V51">
            <v>1704638</v>
          </cell>
          <cell r="W51">
            <v>1849683</v>
          </cell>
          <cell r="X51">
            <v>2089900</v>
          </cell>
          <cell r="Y51">
            <v>2394324</v>
          </cell>
          <cell r="Z51">
            <v>2502907</v>
          </cell>
          <cell r="AA51">
            <v>1871415</v>
          </cell>
          <cell r="AB51">
            <v>1612450</v>
          </cell>
          <cell r="AC51">
            <v>1586228</v>
          </cell>
          <cell r="AD51">
            <v>1812121</v>
          </cell>
          <cell r="AE51">
            <v>1828283</v>
          </cell>
          <cell r="AF51">
            <v>1810494</v>
          </cell>
          <cell r="AG51">
            <v>1454095</v>
          </cell>
          <cell r="AI51">
            <v>0</v>
          </cell>
        </row>
        <row r="52">
          <cell r="I52">
            <v>-2829</v>
          </cell>
          <cell r="J52">
            <v>-131</v>
          </cell>
          <cell r="K52">
            <v>0</v>
          </cell>
          <cell r="L52">
            <v>0</v>
          </cell>
          <cell r="M52">
            <v>0</v>
          </cell>
          <cell r="N52">
            <v>-1692</v>
          </cell>
          <cell r="O52">
            <v>1051925</v>
          </cell>
          <cell r="P52">
            <v>1177952</v>
          </cell>
          <cell r="Q52">
            <v>1237778</v>
          </cell>
          <cell r="R52">
            <v>1189870</v>
          </cell>
          <cell r="S52">
            <v>1245988</v>
          </cell>
          <cell r="T52">
            <v>1108948</v>
          </cell>
          <cell r="U52">
            <v>1085003</v>
          </cell>
          <cell r="V52">
            <v>984877</v>
          </cell>
          <cell r="W52">
            <v>1082040</v>
          </cell>
          <cell r="X52">
            <v>1221256</v>
          </cell>
          <cell r="Y52">
            <v>1385706</v>
          </cell>
          <cell r="Z52">
            <v>1469716</v>
          </cell>
          <cell r="AA52">
            <v>1137041</v>
          </cell>
          <cell r="AB52">
            <v>951719</v>
          </cell>
          <cell r="AC52">
            <v>1168462</v>
          </cell>
          <cell r="AD52">
            <v>1313327</v>
          </cell>
          <cell r="AE52">
            <v>1282439</v>
          </cell>
          <cell r="AF52">
            <v>1219817</v>
          </cell>
          <cell r="AG52">
            <v>1054007</v>
          </cell>
          <cell r="AI52">
            <v>-131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-121</v>
          </cell>
          <cell r="M53">
            <v>-2589</v>
          </cell>
          <cell r="N53">
            <v>-4626</v>
          </cell>
          <cell r="O53">
            <v>2162473</v>
          </cell>
          <cell r="P53">
            <v>1865379</v>
          </cell>
          <cell r="Q53">
            <v>2043749</v>
          </cell>
          <cell r="R53">
            <v>2187758</v>
          </cell>
          <cell r="S53">
            <v>2239724</v>
          </cell>
          <cell r="T53">
            <v>2407926</v>
          </cell>
          <cell r="U53">
            <v>2135564</v>
          </cell>
          <cell r="V53">
            <v>1969834</v>
          </cell>
          <cell r="W53">
            <v>2347026</v>
          </cell>
          <cell r="X53">
            <v>2600776</v>
          </cell>
          <cell r="Y53">
            <v>3087550</v>
          </cell>
          <cell r="Z53">
            <v>2963795</v>
          </cell>
          <cell r="AA53">
            <v>2302506</v>
          </cell>
          <cell r="AB53">
            <v>1793434</v>
          </cell>
          <cell r="AC53">
            <v>1838379</v>
          </cell>
          <cell r="AD53">
            <v>2291014</v>
          </cell>
          <cell r="AE53">
            <v>2320206</v>
          </cell>
          <cell r="AF53">
            <v>2189459</v>
          </cell>
          <cell r="AG53">
            <v>1903591</v>
          </cell>
          <cell r="AI53">
            <v>0</v>
          </cell>
        </row>
        <row r="54">
          <cell r="I54">
            <v>0</v>
          </cell>
          <cell r="J54">
            <v>0</v>
          </cell>
          <cell r="K54">
            <v>-4000</v>
          </cell>
          <cell r="L54">
            <v>-1801</v>
          </cell>
          <cell r="M54">
            <v>-279</v>
          </cell>
          <cell r="N54">
            <v>-36455</v>
          </cell>
          <cell r="O54">
            <v>2703634</v>
          </cell>
          <cell r="P54">
            <v>2426651</v>
          </cell>
          <cell r="Q54">
            <v>2721773</v>
          </cell>
          <cell r="R54">
            <v>2698185</v>
          </cell>
          <cell r="S54">
            <v>2696303</v>
          </cell>
          <cell r="T54">
            <v>2803903</v>
          </cell>
          <cell r="U54">
            <v>2485970</v>
          </cell>
          <cell r="V54">
            <v>2560119</v>
          </cell>
          <cell r="W54">
            <v>2476043</v>
          </cell>
          <cell r="X54">
            <v>2716585</v>
          </cell>
          <cell r="Y54">
            <v>3059658</v>
          </cell>
          <cell r="Z54">
            <v>3103138</v>
          </cell>
          <cell r="AA54">
            <v>2674311</v>
          </cell>
          <cell r="AB54">
            <v>2494392</v>
          </cell>
          <cell r="AC54">
            <v>2536665</v>
          </cell>
          <cell r="AD54">
            <v>2815329</v>
          </cell>
          <cell r="AE54">
            <v>2574914</v>
          </cell>
          <cell r="AF54">
            <v>2533956</v>
          </cell>
          <cell r="AG54">
            <v>2229756</v>
          </cell>
          <cell r="AI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-28961</v>
          </cell>
          <cell r="M55">
            <v>-99</v>
          </cell>
          <cell r="N55">
            <v>-663</v>
          </cell>
          <cell r="O55">
            <v>2458670</v>
          </cell>
          <cell r="P55">
            <v>2382255</v>
          </cell>
          <cell r="Q55">
            <v>2646233</v>
          </cell>
          <cell r="R55">
            <v>3059006</v>
          </cell>
          <cell r="S55">
            <v>2927344</v>
          </cell>
          <cell r="T55">
            <v>3226137</v>
          </cell>
          <cell r="U55">
            <v>2917626</v>
          </cell>
          <cell r="V55">
            <v>2570953</v>
          </cell>
          <cell r="W55">
            <v>2503123</v>
          </cell>
          <cell r="X55">
            <v>2472445</v>
          </cell>
          <cell r="Y55">
            <v>2894911</v>
          </cell>
          <cell r="Z55">
            <v>3080016</v>
          </cell>
          <cell r="AA55">
            <v>2678966</v>
          </cell>
          <cell r="AB55">
            <v>2339360</v>
          </cell>
          <cell r="AC55">
            <v>2574676</v>
          </cell>
          <cell r="AD55">
            <v>3082363</v>
          </cell>
          <cell r="AE55">
            <v>3190375</v>
          </cell>
          <cell r="AF55">
            <v>3888698</v>
          </cell>
          <cell r="AG55">
            <v>3799506</v>
          </cell>
          <cell r="AI55">
            <v>0</v>
          </cell>
        </row>
        <row r="56">
          <cell r="I56">
            <v>0</v>
          </cell>
          <cell r="J56">
            <v>-13</v>
          </cell>
          <cell r="K56">
            <v>0</v>
          </cell>
          <cell r="L56">
            <v>0</v>
          </cell>
          <cell r="M56">
            <v>-1897</v>
          </cell>
          <cell r="N56">
            <v>-21</v>
          </cell>
          <cell r="O56">
            <v>1821642</v>
          </cell>
          <cell r="P56">
            <v>1655050</v>
          </cell>
          <cell r="Q56">
            <v>1465737</v>
          </cell>
          <cell r="R56">
            <v>1972084</v>
          </cell>
          <cell r="S56">
            <v>2069149</v>
          </cell>
          <cell r="T56">
            <v>2301065</v>
          </cell>
          <cell r="U56">
            <v>1932411</v>
          </cell>
          <cell r="V56">
            <v>1795507</v>
          </cell>
          <cell r="W56">
            <v>2136656</v>
          </cell>
          <cell r="X56">
            <v>2269595</v>
          </cell>
          <cell r="Y56">
            <v>2723217</v>
          </cell>
          <cell r="Z56">
            <v>2845246</v>
          </cell>
          <cell r="AA56">
            <v>2233847</v>
          </cell>
          <cell r="AB56">
            <v>1786395</v>
          </cell>
          <cell r="AC56">
            <v>1876675</v>
          </cell>
          <cell r="AD56">
            <v>2354382</v>
          </cell>
          <cell r="AE56">
            <v>2215203</v>
          </cell>
          <cell r="AF56">
            <v>2257311</v>
          </cell>
          <cell r="AG56">
            <v>1889422</v>
          </cell>
          <cell r="AI56">
            <v>-13</v>
          </cell>
        </row>
        <row r="57">
          <cell r="I57">
            <v>0</v>
          </cell>
          <cell r="J57">
            <v>0</v>
          </cell>
          <cell r="K57">
            <v>-61520</v>
          </cell>
          <cell r="L57">
            <v>-1878</v>
          </cell>
          <cell r="M57">
            <v>-524</v>
          </cell>
          <cell r="N57">
            <v>-685</v>
          </cell>
          <cell r="O57">
            <v>3604396</v>
          </cell>
          <cell r="P57">
            <v>3879186</v>
          </cell>
          <cell r="Q57">
            <v>4486933</v>
          </cell>
          <cell r="R57">
            <v>4694270</v>
          </cell>
          <cell r="S57">
            <v>4645736</v>
          </cell>
          <cell r="T57">
            <v>5114420</v>
          </cell>
          <cell r="U57">
            <v>4547044</v>
          </cell>
          <cell r="V57">
            <v>4204958</v>
          </cell>
          <cell r="W57">
            <v>4642066</v>
          </cell>
          <cell r="X57">
            <v>4248450</v>
          </cell>
          <cell r="Y57">
            <v>4893080</v>
          </cell>
          <cell r="Z57">
            <v>5377036</v>
          </cell>
          <cell r="AA57">
            <v>4473802</v>
          </cell>
          <cell r="AB57">
            <v>4181438</v>
          </cell>
          <cell r="AC57">
            <v>4167014</v>
          </cell>
          <cell r="AD57">
            <v>5720900</v>
          </cell>
          <cell r="AE57">
            <v>4558436</v>
          </cell>
          <cell r="AF57">
            <v>4621926</v>
          </cell>
          <cell r="AG57">
            <v>4040791</v>
          </cell>
          <cell r="AI57">
            <v>0</v>
          </cell>
        </row>
        <row r="58">
          <cell r="I58">
            <v>0</v>
          </cell>
          <cell r="J58">
            <v>0</v>
          </cell>
          <cell r="K58">
            <v>-2775</v>
          </cell>
          <cell r="L58">
            <v>-1155</v>
          </cell>
          <cell r="M58">
            <v>0</v>
          </cell>
          <cell r="N58">
            <v>-2312</v>
          </cell>
          <cell r="O58">
            <v>-3575</v>
          </cell>
          <cell r="P58">
            <v>1576915</v>
          </cell>
          <cell r="Q58">
            <v>1663085</v>
          </cell>
          <cell r="R58">
            <v>1904893</v>
          </cell>
          <cell r="S58">
            <v>1780926</v>
          </cell>
          <cell r="T58">
            <v>2069193</v>
          </cell>
          <cell r="U58">
            <v>1807292</v>
          </cell>
          <cell r="V58">
            <v>1612420</v>
          </cell>
          <cell r="W58">
            <v>1884810</v>
          </cell>
          <cell r="X58">
            <v>2002651</v>
          </cell>
          <cell r="Y58">
            <v>2429973</v>
          </cell>
          <cell r="Z58">
            <v>2559613</v>
          </cell>
          <cell r="AA58">
            <v>1936944</v>
          </cell>
          <cell r="AB58">
            <v>1590356</v>
          </cell>
          <cell r="AC58">
            <v>1770193</v>
          </cell>
          <cell r="AD58">
            <v>2200681</v>
          </cell>
          <cell r="AE58">
            <v>2020173</v>
          </cell>
          <cell r="AF58">
            <v>1990044</v>
          </cell>
          <cell r="AG58">
            <v>1724402</v>
          </cell>
          <cell r="AI58">
            <v>0</v>
          </cell>
        </row>
        <row r="59">
          <cell r="I59">
            <v>0</v>
          </cell>
          <cell r="J59">
            <v>-245</v>
          </cell>
          <cell r="K59">
            <v>-104698</v>
          </cell>
          <cell r="L59">
            <v>-244</v>
          </cell>
          <cell r="M59">
            <v>0</v>
          </cell>
          <cell r="N59">
            <v>0</v>
          </cell>
          <cell r="O59">
            <v>-4906</v>
          </cell>
          <cell r="P59">
            <v>2113251</v>
          </cell>
          <cell r="Q59">
            <v>2475253</v>
          </cell>
          <cell r="R59">
            <v>2849262</v>
          </cell>
          <cell r="S59">
            <v>2909088</v>
          </cell>
          <cell r="T59">
            <v>3009880</v>
          </cell>
          <cell r="U59">
            <v>2770567</v>
          </cell>
          <cell r="V59">
            <v>2538841</v>
          </cell>
          <cell r="W59">
            <v>2711914</v>
          </cell>
          <cell r="X59">
            <v>2737794</v>
          </cell>
          <cell r="Y59">
            <v>3082570</v>
          </cell>
          <cell r="Z59">
            <v>3516203</v>
          </cell>
          <cell r="AA59">
            <v>2895672</v>
          </cell>
          <cell r="AB59">
            <v>2484455</v>
          </cell>
          <cell r="AC59">
            <v>2565525</v>
          </cell>
          <cell r="AD59">
            <v>3315163</v>
          </cell>
          <cell r="AE59">
            <v>3158185</v>
          </cell>
          <cell r="AF59">
            <v>3195205</v>
          </cell>
          <cell r="AG59">
            <v>2878239</v>
          </cell>
          <cell r="AI59">
            <v>-245</v>
          </cell>
        </row>
        <row r="60">
          <cell r="I60">
            <v>0</v>
          </cell>
          <cell r="J60">
            <v>439</v>
          </cell>
          <cell r="K60">
            <v>0</v>
          </cell>
          <cell r="L60">
            <v>-4252</v>
          </cell>
          <cell r="M60">
            <v>-3216</v>
          </cell>
          <cell r="N60">
            <v>-1016</v>
          </cell>
          <cell r="O60">
            <v>-12846</v>
          </cell>
          <cell r="P60">
            <v>1448797</v>
          </cell>
          <cell r="Q60">
            <v>1479881</v>
          </cell>
          <cell r="R60">
            <v>1810670</v>
          </cell>
          <cell r="S60">
            <v>1792921</v>
          </cell>
          <cell r="T60">
            <v>2095678</v>
          </cell>
          <cell r="U60">
            <v>1818684</v>
          </cell>
          <cell r="V60">
            <v>1587584</v>
          </cell>
          <cell r="W60">
            <v>1811570</v>
          </cell>
          <cell r="X60">
            <v>1722258</v>
          </cell>
          <cell r="Y60">
            <v>2140969</v>
          </cell>
          <cell r="Z60">
            <v>2273593</v>
          </cell>
          <cell r="AA60">
            <v>1948476</v>
          </cell>
          <cell r="AB60">
            <v>1499863</v>
          </cell>
          <cell r="AC60">
            <v>1526861</v>
          </cell>
          <cell r="AD60">
            <v>2000317</v>
          </cell>
          <cell r="AE60">
            <v>2029724</v>
          </cell>
          <cell r="AF60">
            <v>2008541</v>
          </cell>
          <cell r="AG60">
            <v>1812159</v>
          </cell>
          <cell r="AI60">
            <v>439</v>
          </cell>
        </row>
        <row r="61">
          <cell r="I61">
            <v>-8</v>
          </cell>
          <cell r="J61">
            <v>0</v>
          </cell>
          <cell r="K61">
            <v>0</v>
          </cell>
          <cell r="L61">
            <v>-2573</v>
          </cell>
          <cell r="M61">
            <v>-1573</v>
          </cell>
          <cell r="N61">
            <v>0</v>
          </cell>
          <cell r="O61">
            <v>-4819</v>
          </cell>
          <cell r="P61">
            <v>1292947</v>
          </cell>
          <cell r="Q61">
            <v>1267917</v>
          </cell>
          <cell r="R61">
            <v>1512818</v>
          </cell>
          <cell r="S61">
            <v>1411465</v>
          </cell>
          <cell r="T61">
            <v>1643359</v>
          </cell>
          <cell r="U61">
            <v>1455773</v>
          </cell>
          <cell r="V61">
            <v>1250939</v>
          </cell>
          <cell r="W61">
            <v>1457262</v>
          </cell>
          <cell r="X61">
            <v>1394506</v>
          </cell>
          <cell r="Y61">
            <v>1730102</v>
          </cell>
          <cell r="Z61">
            <v>1773245</v>
          </cell>
          <cell r="AA61">
            <v>1533467</v>
          </cell>
          <cell r="AB61">
            <v>1289062</v>
          </cell>
          <cell r="AC61">
            <v>1268447</v>
          </cell>
          <cell r="AD61">
            <v>1553007</v>
          </cell>
          <cell r="AE61">
            <v>1571468</v>
          </cell>
          <cell r="AF61">
            <v>1601327</v>
          </cell>
          <cell r="AG61">
            <v>1343799</v>
          </cell>
          <cell r="AI61">
            <v>0</v>
          </cell>
        </row>
        <row r="62">
          <cell r="I62">
            <v>0</v>
          </cell>
          <cell r="J62">
            <v>-2459</v>
          </cell>
          <cell r="K62">
            <v>-7630</v>
          </cell>
          <cell r="L62">
            <v>0</v>
          </cell>
          <cell r="M62">
            <v>0</v>
          </cell>
          <cell r="N62">
            <v>-1273</v>
          </cell>
          <cell r="O62">
            <v>1520</v>
          </cell>
          <cell r="P62">
            <v>1282300</v>
          </cell>
          <cell r="Q62">
            <v>1466619</v>
          </cell>
          <cell r="R62">
            <v>1742643</v>
          </cell>
          <cell r="S62">
            <v>1583709</v>
          </cell>
          <cell r="T62">
            <v>1766680</v>
          </cell>
          <cell r="U62">
            <v>1578269</v>
          </cell>
          <cell r="V62">
            <v>1322643</v>
          </cell>
          <cell r="W62">
            <v>1570710</v>
          </cell>
          <cell r="X62">
            <v>1603308</v>
          </cell>
          <cell r="Y62">
            <v>1727066</v>
          </cell>
          <cell r="Z62">
            <v>1752890</v>
          </cell>
          <cell r="AA62">
            <v>1487468</v>
          </cell>
          <cell r="AB62">
            <v>1289222</v>
          </cell>
          <cell r="AC62">
            <v>1308306</v>
          </cell>
          <cell r="AD62">
            <v>1485547</v>
          </cell>
          <cell r="AE62">
            <v>1494188</v>
          </cell>
          <cell r="AF62">
            <v>1552508</v>
          </cell>
          <cell r="AG62">
            <v>1156878</v>
          </cell>
          <cell r="AI62">
            <v>-2459</v>
          </cell>
        </row>
        <row r="63">
          <cell r="I63">
            <v>0</v>
          </cell>
          <cell r="J63">
            <v>0</v>
          </cell>
          <cell r="K63">
            <v>-32761</v>
          </cell>
          <cell r="L63">
            <v>-631</v>
          </cell>
          <cell r="M63">
            <v>-240</v>
          </cell>
          <cell r="N63">
            <v>-3190</v>
          </cell>
          <cell r="O63">
            <v>-786</v>
          </cell>
          <cell r="P63">
            <v>1396107</v>
          </cell>
          <cell r="Q63">
            <v>1352908</v>
          </cell>
          <cell r="R63">
            <v>1462368</v>
          </cell>
          <cell r="S63">
            <v>1429716</v>
          </cell>
          <cell r="T63">
            <v>1621945</v>
          </cell>
          <cell r="U63">
            <v>1504293</v>
          </cell>
          <cell r="V63">
            <v>1313932</v>
          </cell>
          <cell r="W63">
            <v>1618810</v>
          </cell>
          <cell r="X63">
            <v>1696797</v>
          </cell>
          <cell r="Y63">
            <v>2230361</v>
          </cell>
          <cell r="Z63">
            <v>2303566</v>
          </cell>
          <cell r="AA63">
            <v>1967674</v>
          </cell>
          <cell r="AB63">
            <v>1485853</v>
          </cell>
          <cell r="AC63">
            <v>1380587</v>
          </cell>
          <cell r="AD63">
            <v>1582054</v>
          </cell>
          <cell r="AE63">
            <v>1578138</v>
          </cell>
          <cell r="AF63">
            <v>1680138</v>
          </cell>
          <cell r="AG63">
            <v>1380101</v>
          </cell>
          <cell r="AI63">
            <v>0</v>
          </cell>
        </row>
        <row r="64">
          <cell r="I64">
            <v>0</v>
          </cell>
          <cell r="J64">
            <v>0</v>
          </cell>
          <cell r="K64">
            <v>-7103</v>
          </cell>
          <cell r="L64">
            <v>0</v>
          </cell>
          <cell r="M64">
            <v>-80</v>
          </cell>
          <cell r="N64">
            <v>-1984</v>
          </cell>
          <cell r="O64">
            <v>32998</v>
          </cell>
          <cell r="P64">
            <v>2177535</v>
          </cell>
          <cell r="Q64">
            <v>2004035</v>
          </cell>
          <cell r="R64">
            <v>2317489</v>
          </cell>
          <cell r="S64">
            <v>2297168</v>
          </cell>
          <cell r="T64">
            <v>2361113</v>
          </cell>
          <cell r="U64">
            <v>2112501</v>
          </cell>
          <cell r="V64">
            <v>1976848</v>
          </cell>
          <cell r="W64">
            <v>2360995</v>
          </cell>
          <cell r="X64">
            <v>2013673</v>
          </cell>
          <cell r="Y64">
            <v>2458523</v>
          </cell>
          <cell r="Z64">
            <v>2782540</v>
          </cell>
          <cell r="AA64">
            <v>2253221</v>
          </cell>
          <cell r="AB64">
            <v>1928980</v>
          </cell>
          <cell r="AC64">
            <v>1858506</v>
          </cell>
          <cell r="AD64">
            <v>2192242</v>
          </cell>
          <cell r="AE64">
            <v>2142444</v>
          </cell>
          <cell r="AF64">
            <v>2130550</v>
          </cell>
          <cell r="AG64">
            <v>1694446</v>
          </cell>
          <cell r="AI64">
            <v>0</v>
          </cell>
        </row>
        <row r="65">
          <cell r="I65">
            <v>-4</v>
          </cell>
          <cell r="J65">
            <v>-65759</v>
          </cell>
          <cell r="K65">
            <v>-28984</v>
          </cell>
          <cell r="L65">
            <v>0</v>
          </cell>
          <cell r="M65">
            <v>0</v>
          </cell>
          <cell r="N65">
            <v>-2675</v>
          </cell>
          <cell r="O65">
            <v>-4135</v>
          </cell>
          <cell r="P65">
            <v>2147083</v>
          </cell>
          <cell r="Q65">
            <v>2138046</v>
          </cell>
          <cell r="R65">
            <v>2505167</v>
          </cell>
          <cell r="S65">
            <v>2440310</v>
          </cell>
          <cell r="T65">
            <v>2823637</v>
          </cell>
          <cell r="U65">
            <v>2403336</v>
          </cell>
          <cell r="V65">
            <v>2158322</v>
          </cell>
          <cell r="W65">
            <v>2484518</v>
          </cell>
          <cell r="X65">
            <v>2572566</v>
          </cell>
          <cell r="Y65">
            <v>3278323</v>
          </cell>
          <cell r="Z65">
            <v>3461094</v>
          </cell>
          <cell r="AA65">
            <v>3123201</v>
          </cell>
          <cell r="AB65">
            <v>2226032</v>
          </cell>
          <cell r="AC65">
            <v>1977514</v>
          </cell>
          <cell r="AD65">
            <v>2260357</v>
          </cell>
          <cell r="AE65">
            <v>2445000</v>
          </cell>
          <cell r="AF65">
            <v>2454928</v>
          </cell>
          <cell r="AG65">
            <v>2133989</v>
          </cell>
          <cell r="AI65">
            <v>-65759</v>
          </cell>
        </row>
        <row r="66">
          <cell r="I66">
            <v>0</v>
          </cell>
          <cell r="J66">
            <v>-33</v>
          </cell>
          <cell r="K66">
            <v>-10</v>
          </cell>
          <cell r="L66">
            <v>-2095</v>
          </cell>
          <cell r="M66">
            <v>-375</v>
          </cell>
          <cell r="N66">
            <v>-1076</v>
          </cell>
          <cell r="O66">
            <v>-5078</v>
          </cell>
          <cell r="P66">
            <v>1625805</v>
          </cell>
          <cell r="Q66">
            <v>1619217</v>
          </cell>
          <cell r="R66">
            <v>1969798</v>
          </cell>
          <cell r="S66">
            <v>1857184</v>
          </cell>
          <cell r="T66">
            <v>2048486</v>
          </cell>
          <cell r="U66">
            <v>1910985</v>
          </cell>
          <cell r="V66">
            <v>1717368</v>
          </cell>
          <cell r="W66">
            <v>1742819</v>
          </cell>
          <cell r="X66">
            <v>1550492</v>
          </cell>
          <cell r="Y66">
            <v>1900103</v>
          </cell>
          <cell r="Z66">
            <v>2060659</v>
          </cell>
          <cell r="AA66">
            <v>2010776</v>
          </cell>
          <cell r="AB66">
            <v>1428158</v>
          </cell>
          <cell r="AC66">
            <v>1406928</v>
          </cell>
          <cell r="AD66">
            <v>1748311</v>
          </cell>
          <cell r="AE66">
            <v>1891726</v>
          </cell>
          <cell r="AF66">
            <v>1886600</v>
          </cell>
          <cell r="AG66">
            <v>1583420</v>
          </cell>
          <cell r="AI66">
            <v>-33</v>
          </cell>
        </row>
        <row r="67">
          <cell r="I67">
            <v>0</v>
          </cell>
          <cell r="J67">
            <v>0</v>
          </cell>
          <cell r="K67">
            <v>-15821</v>
          </cell>
          <cell r="L67">
            <v>0</v>
          </cell>
          <cell r="M67">
            <v>0</v>
          </cell>
          <cell r="N67">
            <v>-685</v>
          </cell>
          <cell r="O67">
            <v>3316</v>
          </cell>
          <cell r="P67">
            <v>1808179</v>
          </cell>
          <cell r="Q67">
            <v>1711978</v>
          </cell>
          <cell r="R67">
            <v>2218742</v>
          </cell>
          <cell r="S67">
            <v>2111947</v>
          </cell>
          <cell r="T67">
            <v>2353299</v>
          </cell>
          <cell r="U67">
            <v>2410117</v>
          </cell>
          <cell r="V67">
            <v>1927403</v>
          </cell>
          <cell r="W67">
            <v>2079375</v>
          </cell>
          <cell r="X67">
            <v>2176689</v>
          </cell>
          <cell r="Y67">
            <v>2347569</v>
          </cell>
          <cell r="Z67">
            <v>2410901</v>
          </cell>
          <cell r="AA67">
            <v>2660961</v>
          </cell>
          <cell r="AB67">
            <v>1699374</v>
          </cell>
          <cell r="AC67">
            <v>1793969</v>
          </cell>
          <cell r="AD67">
            <v>2166759</v>
          </cell>
          <cell r="AE67">
            <v>1971305</v>
          </cell>
          <cell r="AF67">
            <v>2205330</v>
          </cell>
          <cell r="AG67">
            <v>1859551</v>
          </cell>
          <cell r="AI67">
            <v>0</v>
          </cell>
        </row>
        <row r="68">
          <cell r="I68">
            <v>0</v>
          </cell>
          <cell r="J68">
            <v>0</v>
          </cell>
          <cell r="K68">
            <v>-966</v>
          </cell>
          <cell r="L68">
            <v>-173</v>
          </cell>
          <cell r="M68">
            <v>-224</v>
          </cell>
          <cell r="N68">
            <v>-5854</v>
          </cell>
          <cell r="O68">
            <v>3888</v>
          </cell>
          <cell r="P68">
            <v>1896237</v>
          </cell>
          <cell r="Q68">
            <v>1932467</v>
          </cell>
          <cell r="R68">
            <v>2312505</v>
          </cell>
          <cell r="S68">
            <v>2139093</v>
          </cell>
          <cell r="T68">
            <v>2460961</v>
          </cell>
          <cell r="U68">
            <v>2015653</v>
          </cell>
          <cell r="V68">
            <v>1786845</v>
          </cell>
          <cell r="W68">
            <v>1607609</v>
          </cell>
          <cell r="X68">
            <v>1802367</v>
          </cell>
          <cell r="Y68">
            <v>1824033</v>
          </cell>
          <cell r="Z68">
            <v>2464953</v>
          </cell>
          <cell r="AA68">
            <v>1889494</v>
          </cell>
          <cell r="AB68">
            <v>1691940</v>
          </cell>
          <cell r="AC68">
            <v>1535800</v>
          </cell>
          <cell r="AD68">
            <v>1772585</v>
          </cell>
          <cell r="AE68">
            <v>1786702</v>
          </cell>
          <cell r="AF68">
            <v>2298977</v>
          </cell>
          <cell r="AG68">
            <v>1255684</v>
          </cell>
          <cell r="AI68">
            <v>0</v>
          </cell>
        </row>
        <row r="70">
          <cell r="I70">
            <v>21498121</v>
          </cell>
          <cell r="J70">
            <v>20311704</v>
          </cell>
          <cell r="K70">
            <v>21262617</v>
          </cell>
          <cell r="L70">
            <v>21076512</v>
          </cell>
          <cell r="M70">
            <v>20683089</v>
          </cell>
          <cell r="N70">
            <v>23498421</v>
          </cell>
          <cell r="O70">
            <v>19744615</v>
          </cell>
          <cell r="P70">
            <v>18946407</v>
          </cell>
          <cell r="Q70">
            <v>21715978</v>
          </cell>
          <cell r="R70">
            <v>22279506</v>
          </cell>
          <cell r="S70">
            <v>24059752</v>
          </cell>
          <cell r="T70">
            <v>21344551</v>
          </cell>
          <cell r="U70">
            <v>21234782</v>
          </cell>
          <cell r="V70">
            <v>21642934</v>
          </cell>
          <cell r="W70">
            <v>18854781</v>
          </cell>
          <cell r="X70">
            <v>18846905</v>
          </cell>
          <cell r="Y70">
            <v>19610276</v>
          </cell>
          <cell r="Z70">
            <v>19834980</v>
          </cell>
          <cell r="AA70">
            <v>19224701</v>
          </cell>
          <cell r="AB70">
            <v>16854378</v>
          </cell>
          <cell r="AC70">
            <v>20706129</v>
          </cell>
          <cell r="AD70">
            <v>23103648</v>
          </cell>
          <cell r="AE70">
            <v>23618755</v>
          </cell>
          <cell r="AF70">
            <v>20024030</v>
          </cell>
          <cell r="AG70">
            <v>19745066</v>
          </cell>
          <cell r="AI70">
            <v>20311704</v>
          </cell>
        </row>
        <row r="71">
          <cell r="I71">
            <v>10351516</v>
          </cell>
          <cell r="J71">
            <v>9827905</v>
          </cell>
          <cell r="K71">
            <v>10574473</v>
          </cell>
          <cell r="L71">
            <v>10895027</v>
          </cell>
          <cell r="M71">
            <v>11146962</v>
          </cell>
          <cell r="N71">
            <v>12533993</v>
          </cell>
          <cell r="O71">
            <v>8292955</v>
          </cell>
          <cell r="P71">
            <v>8099828</v>
          </cell>
          <cell r="Q71">
            <v>9127114</v>
          </cell>
          <cell r="R71">
            <v>9364289</v>
          </cell>
          <cell r="S71">
            <v>10750305</v>
          </cell>
          <cell r="T71">
            <v>9401644</v>
          </cell>
          <cell r="U71">
            <v>8993700</v>
          </cell>
          <cell r="V71">
            <v>8506005</v>
          </cell>
          <cell r="W71">
            <v>7878882</v>
          </cell>
          <cell r="X71">
            <v>8941555</v>
          </cell>
          <cell r="Y71">
            <v>9968756</v>
          </cell>
          <cell r="Z71">
            <v>9818906</v>
          </cell>
          <cell r="AA71">
            <v>8820505</v>
          </cell>
          <cell r="AB71">
            <v>7654618</v>
          </cell>
          <cell r="AC71">
            <v>8831500</v>
          </cell>
          <cell r="AD71">
            <v>10746707</v>
          </cell>
          <cell r="AE71">
            <v>10912702</v>
          </cell>
          <cell r="AF71">
            <v>9366160</v>
          </cell>
          <cell r="AG71">
            <v>8535465</v>
          </cell>
          <cell r="AI71">
            <v>9827905</v>
          </cell>
        </row>
        <row r="72">
          <cell r="I72">
            <v>13746334</v>
          </cell>
          <cell r="J72">
            <v>12397152</v>
          </cell>
          <cell r="K72">
            <v>13391124</v>
          </cell>
          <cell r="L72">
            <v>13437791</v>
          </cell>
          <cell r="M72">
            <v>13584019</v>
          </cell>
          <cell r="N72">
            <v>14862324</v>
          </cell>
          <cell r="O72">
            <v>11196186</v>
          </cell>
          <cell r="P72">
            <v>10929094</v>
          </cell>
          <cell r="Q72">
            <v>12417039</v>
          </cell>
          <cell r="R72">
            <v>12190663</v>
          </cell>
          <cell r="S72">
            <v>13976574</v>
          </cell>
          <cell r="T72">
            <v>12649392</v>
          </cell>
          <cell r="U72">
            <v>12483699</v>
          </cell>
          <cell r="V72">
            <v>8792048</v>
          </cell>
          <cell r="W72">
            <v>9149819</v>
          </cell>
          <cell r="X72">
            <v>9448094</v>
          </cell>
          <cell r="Y72">
            <v>10404722</v>
          </cell>
          <cell r="Z72">
            <v>10522029</v>
          </cell>
          <cell r="AA72">
            <v>9652243</v>
          </cell>
          <cell r="AB72">
            <v>8583231</v>
          </cell>
          <cell r="AC72">
            <v>9642276</v>
          </cell>
          <cell r="AD72">
            <v>11409105</v>
          </cell>
          <cell r="AE72">
            <v>11515321</v>
          </cell>
          <cell r="AF72">
            <v>10900003</v>
          </cell>
          <cell r="AG72">
            <v>9250396</v>
          </cell>
          <cell r="AI72">
            <v>12397152</v>
          </cell>
        </row>
        <row r="73">
          <cell r="I73">
            <v>16494764</v>
          </cell>
          <cell r="J73">
            <v>14271101</v>
          </cell>
          <cell r="K73">
            <v>16363240</v>
          </cell>
          <cell r="L73">
            <v>15932483</v>
          </cell>
          <cell r="M73">
            <v>15980499</v>
          </cell>
          <cell r="N73">
            <v>17520915</v>
          </cell>
          <cell r="O73">
            <v>14210928</v>
          </cell>
          <cell r="P73">
            <v>13567119</v>
          </cell>
          <cell r="Q73">
            <v>14418876</v>
          </cell>
          <cell r="R73">
            <v>14677193</v>
          </cell>
          <cell r="S73">
            <v>15997501</v>
          </cell>
          <cell r="T73">
            <v>15397985</v>
          </cell>
          <cell r="U73">
            <v>14860975</v>
          </cell>
          <cell r="V73">
            <v>12643669</v>
          </cell>
          <cell r="W73">
            <v>12849839</v>
          </cell>
          <cell r="X73">
            <v>12532506</v>
          </cell>
          <cell r="Y73">
            <v>13705747</v>
          </cell>
          <cell r="Z73">
            <v>14518934</v>
          </cell>
          <cell r="AA73">
            <v>13003981</v>
          </cell>
          <cell r="AB73">
            <v>11512727</v>
          </cell>
          <cell r="AC73">
            <v>13092605</v>
          </cell>
          <cell r="AD73">
            <v>15825909</v>
          </cell>
          <cell r="AE73">
            <v>14927814</v>
          </cell>
          <cell r="AF73">
            <v>15493736</v>
          </cell>
          <cell r="AG73">
            <v>12566258</v>
          </cell>
          <cell r="AI73">
            <v>14271101</v>
          </cell>
        </row>
        <row r="74">
          <cell r="I74">
            <v>17589137</v>
          </cell>
          <cell r="J74">
            <v>15118181</v>
          </cell>
          <cell r="K74">
            <v>16834182</v>
          </cell>
          <cell r="L74">
            <v>17792838</v>
          </cell>
          <cell r="M74">
            <v>17647866</v>
          </cell>
          <cell r="N74">
            <v>18749345</v>
          </cell>
          <cell r="O74">
            <v>14739750</v>
          </cell>
          <cell r="P74">
            <v>13696494</v>
          </cell>
          <cell r="Q74">
            <v>15108718</v>
          </cell>
          <cell r="R74">
            <v>16574923</v>
          </cell>
          <cell r="S74">
            <v>16835772</v>
          </cell>
          <cell r="T74">
            <v>17260876</v>
          </cell>
          <cell r="U74">
            <v>16690574</v>
          </cell>
          <cell r="V74">
            <v>13902354</v>
          </cell>
          <cell r="W74">
            <v>15451288</v>
          </cell>
          <cell r="X74">
            <v>15342493</v>
          </cell>
          <cell r="Y74">
            <v>16541232</v>
          </cell>
          <cell r="Z74">
            <v>17672952</v>
          </cell>
          <cell r="AA74">
            <v>15700205</v>
          </cell>
          <cell r="AB74">
            <v>13949247</v>
          </cell>
          <cell r="AC74">
            <v>15635199</v>
          </cell>
          <cell r="AD74">
            <v>19793664</v>
          </cell>
          <cell r="AE74">
            <v>18030540</v>
          </cell>
          <cell r="AF74">
            <v>18539304</v>
          </cell>
          <cell r="AG74">
            <v>15906973</v>
          </cell>
          <cell r="AI74">
            <v>15118181</v>
          </cell>
        </row>
        <row r="75">
          <cell r="I75">
            <v>19256206</v>
          </cell>
          <cell r="J75">
            <v>16509022</v>
          </cell>
          <cell r="K75">
            <v>17389185</v>
          </cell>
          <cell r="L75">
            <v>17391414</v>
          </cell>
          <cell r="M75">
            <v>17431938</v>
          </cell>
          <cell r="N75">
            <v>18232223</v>
          </cell>
          <cell r="O75">
            <v>13997015</v>
          </cell>
          <cell r="P75">
            <v>13343232</v>
          </cell>
          <cell r="Q75">
            <v>15208635</v>
          </cell>
          <cell r="R75">
            <v>15771682</v>
          </cell>
          <cell r="S75">
            <v>16855454</v>
          </cell>
          <cell r="T75">
            <v>17207909</v>
          </cell>
          <cell r="U75">
            <v>15554311</v>
          </cell>
          <cell r="V75">
            <v>14259793</v>
          </cell>
          <cell r="W75">
            <v>13588081</v>
          </cell>
          <cell r="X75">
            <v>13558131</v>
          </cell>
          <cell r="Y75">
            <v>14774580</v>
          </cell>
          <cell r="Z75">
            <v>16197205</v>
          </cell>
          <cell r="AA75">
            <v>14529249</v>
          </cell>
          <cell r="AB75">
            <v>13606900</v>
          </cell>
          <cell r="AC75">
            <v>14421971</v>
          </cell>
          <cell r="AD75">
            <v>17984605</v>
          </cell>
          <cell r="AE75">
            <v>16462023</v>
          </cell>
          <cell r="AF75">
            <v>17204678</v>
          </cell>
          <cell r="AG75">
            <v>14630596</v>
          </cell>
          <cell r="AI75">
            <v>16509022</v>
          </cell>
        </row>
        <row r="76">
          <cell r="I76">
            <v>25364199</v>
          </cell>
          <cell r="J76">
            <v>22209027</v>
          </cell>
          <cell r="K76">
            <v>23416381</v>
          </cell>
          <cell r="L76">
            <v>22435135</v>
          </cell>
          <cell r="M76">
            <v>23040945</v>
          </cell>
          <cell r="N76">
            <v>24857895</v>
          </cell>
          <cell r="O76">
            <v>19856653</v>
          </cell>
          <cell r="P76">
            <v>19154393</v>
          </cell>
          <cell r="Q76">
            <v>20215549</v>
          </cell>
          <cell r="R76">
            <v>22828947</v>
          </cell>
          <cell r="S76">
            <v>23149561</v>
          </cell>
          <cell r="T76">
            <v>24079068</v>
          </cell>
          <cell r="U76">
            <v>21789799</v>
          </cell>
          <cell r="V76">
            <v>19635882</v>
          </cell>
          <cell r="W76">
            <v>19061463</v>
          </cell>
          <cell r="X76">
            <v>18497240</v>
          </cell>
          <cell r="Y76">
            <v>19199567</v>
          </cell>
          <cell r="Z76">
            <v>21492410</v>
          </cell>
          <cell r="AA76">
            <v>19733246</v>
          </cell>
          <cell r="AB76">
            <v>18131931</v>
          </cell>
          <cell r="AC76">
            <v>19246877</v>
          </cell>
          <cell r="AD76">
            <v>23453573</v>
          </cell>
          <cell r="AE76">
            <v>22303448</v>
          </cell>
          <cell r="AF76">
            <v>22186693</v>
          </cell>
          <cell r="AG76">
            <v>18036457</v>
          </cell>
          <cell r="AI76">
            <v>22209027</v>
          </cell>
        </row>
        <row r="77">
          <cell r="I77">
            <v>20028348</v>
          </cell>
          <cell r="J77">
            <v>17817653</v>
          </cell>
          <cell r="K77">
            <v>18836664</v>
          </cell>
          <cell r="L77">
            <v>18875505</v>
          </cell>
          <cell r="M77">
            <v>18999291</v>
          </cell>
          <cell r="N77">
            <v>20901262</v>
          </cell>
          <cell r="O77">
            <v>16422299</v>
          </cell>
          <cell r="P77">
            <v>16379182</v>
          </cell>
          <cell r="Q77">
            <v>17328307</v>
          </cell>
          <cell r="R77">
            <v>19787758</v>
          </cell>
          <cell r="S77">
            <v>20048112</v>
          </cell>
          <cell r="T77">
            <v>20192803</v>
          </cell>
          <cell r="U77">
            <v>18735991</v>
          </cell>
          <cell r="V77">
            <v>16366362</v>
          </cell>
          <cell r="W77">
            <v>17250755</v>
          </cell>
          <cell r="X77">
            <v>15979844</v>
          </cell>
          <cell r="Y77">
            <v>17689668</v>
          </cell>
          <cell r="Z77">
            <v>18664216</v>
          </cell>
          <cell r="AA77">
            <v>17193842</v>
          </cell>
          <cell r="AB77">
            <v>15089980</v>
          </cell>
          <cell r="AC77">
            <v>16764810</v>
          </cell>
          <cell r="AD77">
            <v>20719183</v>
          </cell>
          <cell r="AE77">
            <v>20158302</v>
          </cell>
          <cell r="AF77">
            <v>20753804</v>
          </cell>
          <cell r="AG77">
            <v>17056438</v>
          </cell>
          <cell r="AI77">
            <v>17817653</v>
          </cell>
        </row>
        <row r="78">
          <cell r="I78">
            <v>21132638</v>
          </cell>
          <cell r="J78">
            <v>18499267</v>
          </cell>
          <cell r="K78">
            <v>19854820</v>
          </cell>
          <cell r="L78">
            <v>20018412</v>
          </cell>
          <cell r="M78">
            <v>20286857</v>
          </cell>
          <cell r="N78">
            <v>22135878</v>
          </cell>
          <cell r="O78">
            <v>15465680</v>
          </cell>
          <cell r="P78">
            <v>13716913</v>
          </cell>
          <cell r="Q78">
            <v>14943948</v>
          </cell>
          <cell r="R78">
            <v>17490835</v>
          </cell>
          <cell r="S78">
            <v>16990015</v>
          </cell>
          <cell r="T78">
            <v>18519575</v>
          </cell>
          <cell r="U78">
            <v>15752283</v>
          </cell>
          <cell r="V78">
            <v>13797853</v>
          </cell>
          <cell r="W78">
            <v>16215278</v>
          </cell>
          <cell r="X78">
            <v>14843573</v>
          </cell>
          <cell r="Y78">
            <v>17169490</v>
          </cell>
          <cell r="Z78">
            <v>18067459</v>
          </cell>
          <cell r="AA78">
            <v>15182874</v>
          </cell>
          <cell r="AB78">
            <v>14245261</v>
          </cell>
          <cell r="AC78">
            <v>15182465</v>
          </cell>
          <cell r="AD78">
            <v>17788003</v>
          </cell>
          <cell r="AE78">
            <v>16966055</v>
          </cell>
          <cell r="AF78">
            <v>17703783</v>
          </cell>
          <cell r="AG78">
            <v>14719619</v>
          </cell>
          <cell r="AI78">
            <v>18499267</v>
          </cell>
        </row>
        <row r="79">
          <cell r="I79">
            <v>17296238</v>
          </cell>
          <cell r="J79">
            <v>14318107</v>
          </cell>
          <cell r="K79">
            <v>14853819</v>
          </cell>
          <cell r="L79">
            <v>15796068</v>
          </cell>
          <cell r="M79">
            <v>16048088</v>
          </cell>
          <cell r="N79">
            <v>17073820</v>
          </cell>
          <cell r="O79">
            <v>15222196</v>
          </cell>
          <cell r="P79">
            <v>11968514</v>
          </cell>
          <cell r="Q79">
            <v>12993403</v>
          </cell>
          <cell r="R79">
            <v>15775282</v>
          </cell>
          <cell r="S79">
            <v>15330489</v>
          </cell>
          <cell r="T79">
            <v>16290738</v>
          </cell>
          <cell r="U79">
            <v>15692241</v>
          </cell>
          <cell r="V79">
            <v>12535868</v>
          </cell>
          <cell r="W79">
            <v>13331936</v>
          </cell>
          <cell r="X79">
            <v>12245850</v>
          </cell>
          <cell r="Y79">
            <v>13447905</v>
          </cell>
          <cell r="Z79">
            <v>14776170</v>
          </cell>
          <cell r="AA79">
            <v>12815927</v>
          </cell>
          <cell r="AB79">
            <v>11678706</v>
          </cell>
          <cell r="AC79">
            <v>13202695</v>
          </cell>
          <cell r="AD79">
            <v>16819613</v>
          </cell>
          <cell r="AE79">
            <v>15660955</v>
          </cell>
          <cell r="AF79">
            <v>15920593</v>
          </cell>
          <cell r="AG79">
            <v>12666528</v>
          </cell>
          <cell r="AI79">
            <v>14318107</v>
          </cell>
        </row>
        <row r="80">
          <cell r="I80">
            <v>27152817</v>
          </cell>
          <cell r="J80">
            <v>23686405</v>
          </cell>
          <cell r="K80">
            <v>23652248</v>
          </cell>
          <cell r="L80">
            <v>24846342</v>
          </cell>
          <cell r="M80">
            <v>23888475</v>
          </cell>
          <cell r="N80">
            <v>27352865</v>
          </cell>
          <cell r="O80">
            <v>24280411</v>
          </cell>
          <cell r="P80">
            <v>19876030</v>
          </cell>
          <cell r="Q80">
            <v>21697863</v>
          </cell>
          <cell r="R80">
            <v>24364839</v>
          </cell>
          <cell r="S80">
            <v>24208297</v>
          </cell>
          <cell r="T80">
            <v>25965829</v>
          </cell>
          <cell r="U80">
            <v>24222590</v>
          </cell>
          <cell r="V80">
            <v>21240299</v>
          </cell>
          <cell r="W80">
            <v>20059091</v>
          </cell>
          <cell r="X80">
            <v>19748911</v>
          </cell>
          <cell r="Y80">
            <v>20723663</v>
          </cell>
          <cell r="Z80">
            <v>22712601</v>
          </cell>
          <cell r="AA80">
            <v>20090159</v>
          </cell>
          <cell r="AB80">
            <v>17941695</v>
          </cell>
          <cell r="AC80">
            <v>19596031</v>
          </cell>
          <cell r="AD80">
            <v>25316641</v>
          </cell>
          <cell r="AE80">
            <v>22542719</v>
          </cell>
          <cell r="AF80">
            <v>25016389</v>
          </cell>
          <cell r="AG80">
            <v>20731089</v>
          </cell>
          <cell r="AI80">
            <v>23686405</v>
          </cell>
        </row>
        <row r="81">
          <cell r="I81">
            <v>22731615</v>
          </cell>
          <cell r="J81">
            <v>18802193</v>
          </cell>
          <cell r="K81">
            <v>19526837</v>
          </cell>
          <cell r="L81">
            <v>19152173</v>
          </cell>
          <cell r="M81">
            <v>19961054</v>
          </cell>
          <cell r="N81">
            <v>21754258</v>
          </cell>
          <cell r="O81">
            <v>19719308</v>
          </cell>
          <cell r="P81">
            <v>16649583</v>
          </cell>
          <cell r="Q81">
            <v>17584932</v>
          </cell>
          <cell r="R81">
            <v>20815261</v>
          </cell>
          <cell r="S81">
            <v>20114071</v>
          </cell>
          <cell r="T81">
            <v>22684836</v>
          </cell>
          <cell r="U81">
            <v>19872963</v>
          </cell>
          <cell r="V81">
            <v>17594783</v>
          </cell>
          <cell r="W81">
            <v>18361799</v>
          </cell>
          <cell r="X81">
            <v>16215237</v>
          </cell>
          <cell r="Y81">
            <v>17545724</v>
          </cell>
          <cell r="Z81">
            <v>19219851</v>
          </cell>
          <cell r="AA81">
            <v>17640436</v>
          </cell>
          <cell r="AB81">
            <v>16311306</v>
          </cell>
          <cell r="AC81">
            <v>16350221</v>
          </cell>
          <cell r="AD81">
            <v>21161832</v>
          </cell>
          <cell r="AE81">
            <v>19988279</v>
          </cell>
          <cell r="AF81">
            <v>20742361</v>
          </cell>
          <cell r="AG81">
            <v>17911246</v>
          </cell>
          <cell r="AI81">
            <v>18802193</v>
          </cell>
        </row>
        <row r="82">
          <cell r="I82">
            <v>12971084</v>
          </cell>
          <cell r="J82">
            <v>11250682</v>
          </cell>
          <cell r="K82">
            <v>11571773</v>
          </cell>
          <cell r="L82">
            <v>11865273</v>
          </cell>
          <cell r="M82">
            <v>12331035</v>
          </cell>
          <cell r="N82">
            <v>13570396</v>
          </cell>
          <cell r="O82">
            <v>12072355</v>
          </cell>
          <cell r="P82">
            <v>9726643</v>
          </cell>
          <cell r="Q82">
            <v>10326389</v>
          </cell>
          <cell r="R82">
            <v>11765702</v>
          </cell>
          <cell r="S82">
            <v>11746722</v>
          </cell>
          <cell r="T82">
            <v>12859290</v>
          </cell>
          <cell r="U82">
            <v>11532684</v>
          </cell>
          <cell r="V82">
            <v>10310652</v>
          </cell>
          <cell r="W82">
            <v>10529812</v>
          </cell>
          <cell r="X82">
            <v>9569279</v>
          </cell>
          <cell r="Y82">
            <v>10867825</v>
          </cell>
          <cell r="Z82">
            <v>11502641</v>
          </cell>
          <cell r="AA82">
            <v>10460478</v>
          </cell>
          <cell r="AB82">
            <v>9303074</v>
          </cell>
          <cell r="AC82">
            <v>9700373</v>
          </cell>
          <cell r="AD82">
            <v>12499345</v>
          </cell>
          <cell r="AE82">
            <v>12291084</v>
          </cell>
          <cell r="AF82">
            <v>12484312</v>
          </cell>
          <cell r="AG82">
            <v>10393265</v>
          </cell>
          <cell r="AI82">
            <v>11250682</v>
          </cell>
        </row>
        <row r="83">
          <cell r="I83">
            <v>13880115</v>
          </cell>
          <cell r="J83">
            <v>11816405</v>
          </cell>
          <cell r="K83">
            <v>12011206</v>
          </cell>
          <cell r="L83">
            <v>12420417</v>
          </cell>
          <cell r="M83">
            <v>12844592</v>
          </cell>
          <cell r="N83">
            <v>14517364</v>
          </cell>
          <cell r="O83">
            <v>13034824</v>
          </cell>
          <cell r="P83">
            <v>11024906</v>
          </cell>
          <cell r="Q83">
            <v>10962806</v>
          </cell>
          <cell r="R83">
            <v>13735719</v>
          </cell>
          <cell r="S83">
            <v>12568925</v>
          </cell>
          <cell r="T83">
            <v>14791005</v>
          </cell>
          <cell r="U83">
            <v>12547919</v>
          </cell>
          <cell r="V83">
            <v>11627094</v>
          </cell>
          <cell r="W83">
            <v>11109037</v>
          </cell>
          <cell r="X83">
            <v>10261577</v>
          </cell>
          <cell r="Y83">
            <v>11214270</v>
          </cell>
          <cell r="Z83">
            <v>12375824</v>
          </cell>
          <cell r="AA83">
            <v>10559392</v>
          </cell>
          <cell r="AB83">
            <v>9866351</v>
          </cell>
          <cell r="AC83">
            <v>9941936</v>
          </cell>
          <cell r="AD83">
            <v>12315996</v>
          </cell>
          <cell r="AE83">
            <v>12092258</v>
          </cell>
          <cell r="AF83">
            <v>12928889</v>
          </cell>
          <cell r="AG83">
            <v>10688883</v>
          </cell>
          <cell r="AI83">
            <v>11816405</v>
          </cell>
        </row>
        <row r="84">
          <cell r="I84">
            <v>17828165</v>
          </cell>
          <cell r="J84">
            <v>14886202</v>
          </cell>
          <cell r="K84">
            <v>15367082</v>
          </cell>
          <cell r="L84">
            <v>16060098</v>
          </cell>
          <cell r="M84">
            <v>17157931</v>
          </cell>
          <cell r="N84">
            <v>18686513</v>
          </cell>
          <cell r="O84">
            <v>16522781</v>
          </cell>
          <cell r="P84">
            <v>13136695</v>
          </cell>
          <cell r="Q84">
            <v>13591677</v>
          </cell>
          <cell r="R84">
            <v>17112471</v>
          </cell>
          <cell r="S84">
            <v>16385307</v>
          </cell>
          <cell r="T84">
            <v>17856720</v>
          </cell>
          <cell r="U84">
            <v>16383445</v>
          </cell>
          <cell r="V84">
            <v>14124514</v>
          </cell>
          <cell r="W84">
            <v>14203820</v>
          </cell>
          <cell r="X84">
            <v>13223007</v>
          </cell>
          <cell r="Y84">
            <v>14953582</v>
          </cell>
          <cell r="Z84">
            <v>16253438</v>
          </cell>
          <cell r="AA84">
            <v>14305101</v>
          </cell>
          <cell r="AB84">
            <v>12510604</v>
          </cell>
          <cell r="AC84">
            <v>13309531</v>
          </cell>
          <cell r="AD84">
            <v>17260235</v>
          </cell>
          <cell r="AE84">
            <v>15659604</v>
          </cell>
          <cell r="AF84">
            <v>17003546</v>
          </cell>
          <cell r="AG84">
            <v>14462783</v>
          </cell>
          <cell r="AI84">
            <v>14886202</v>
          </cell>
        </row>
        <row r="85">
          <cell r="I85">
            <v>15199160</v>
          </cell>
          <cell r="J85">
            <v>13384116</v>
          </cell>
          <cell r="K85">
            <v>13448243</v>
          </cell>
          <cell r="L85">
            <v>13876734</v>
          </cell>
          <cell r="M85">
            <v>14540833</v>
          </cell>
          <cell r="N85">
            <v>16205283</v>
          </cell>
          <cell r="O85">
            <v>15024727</v>
          </cell>
          <cell r="P85">
            <v>11633014</v>
          </cell>
          <cell r="Q85">
            <v>11801116</v>
          </cell>
          <cell r="R85">
            <v>14162376</v>
          </cell>
          <cell r="S85">
            <v>13796796</v>
          </cell>
          <cell r="T85">
            <v>15081311</v>
          </cell>
          <cell r="U85">
            <v>13474594</v>
          </cell>
          <cell r="V85">
            <v>12520550</v>
          </cell>
          <cell r="W85">
            <v>12411367</v>
          </cell>
          <cell r="X85">
            <v>11358273</v>
          </cell>
          <cell r="Y85">
            <v>14783651</v>
          </cell>
          <cell r="Z85">
            <v>13843804</v>
          </cell>
          <cell r="AA85">
            <v>13398461</v>
          </cell>
          <cell r="AB85">
            <v>11917121</v>
          </cell>
          <cell r="AC85">
            <v>12030657</v>
          </cell>
          <cell r="AD85">
            <v>15412800</v>
          </cell>
          <cell r="AE85">
            <v>14646668</v>
          </cell>
          <cell r="AF85">
            <v>15509002</v>
          </cell>
          <cell r="AG85">
            <v>13651740</v>
          </cell>
          <cell r="AI85">
            <v>13384116</v>
          </cell>
        </row>
        <row r="86">
          <cell r="I86">
            <v>17286826</v>
          </cell>
          <cell r="J86">
            <v>14629532</v>
          </cell>
          <cell r="K86">
            <v>14595926</v>
          </cell>
          <cell r="L86">
            <v>15616996</v>
          </cell>
          <cell r="M86">
            <v>16188800</v>
          </cell>
          <cell r="N86">
            <v>16848931</v>
          </cell>
          <cell r="O86">
            <v>16540559</v>
          </cell>
          <cell r="P86">
            <v>11643065</v>
          </cell>
          <cell r="Q86">
            <v>12718202</v>
          </cell>
          <cell r="R86">
            <v>14567610</v>
          </cell>
          <cell r="S86">
            <v>13880986</v>
          </cell>
          <cell r="T86">
            <v>15652871</v>
          </cell>
          <cell r="U86">
            <v>13934215</v>
          </cell>
          <cell r="V86">
            <v>12898049</v>
          </cell>
          <cell r="W86">
            <v>13100761</v>
          </cell>
          <cell r="X86">
            <v>12276492</v>
          </cell>
          <cell r="Y86">
            <v>13253358</v>
          </cell>
          <cell r="Z86">
            <v>14425768</v>
          </cell>
          <cell r="AA86">
            <v>13989320</v>
          </cell>
          <cell r="AB86">
            <v>11125627</v>
          </cell>
          <cell r="AC86">
            <v>11714434</v>
          </cell>
          <cell r="AD86">
            <v>14378481</v>
          </cell>
          <cell r="AE86">
            <v>14965375</v>
          </cell>
          <cell r="AF86">
            <v>14796339</v>
          </cell>
          <cell r="AG86">
            <v>12670830</v>
          </cell>
          <cell r="AI86">
            <v>14629532</v>
          </cell>
        </row>
        <row r="87">
          <cell r="I87">
            <v>11632438</v>
          </cell>
          <cell r="J87">
            <v>9817828</v>
          </cell>
          <cell r="K87">
            <v>9817006</v>
          </cell>
          <cell r="L87">
            <v>10427906</v>
          </cell>
          <cell r="M87">
            <v>10520438</v>
          </cell>
          <cell r="N87">
            <v>10992928</v>
          </cell>
          <cell r="O87">
            <v>11558323</v>
          </cell>
          <cell r="P87">
            <v>7773245</v>
          </cell>
          <cell r="Q87">
            <v>8279381</v>
          </cell>
          <cell r="R87">
            <v>9636274</v>
          </cell>
          <cell r="S87">
            <v>9730477</v>
          </cell>
          <cell r="T87">
            <v>10526599</v>
          </cell>
          <cell r="U87">
            <v>9566735</v>
          </cell>
          <cell r="V87">
            <v>8750334</v>
          </cell>
          <cell r="W87">
            <v>9188990</v>
          </cell>
          <cell r="X87">
            <v>8488358</v>
          </cell>
          <cell r="Y87">
            <v>9543324</v>
          </cell>
          <cell r="Z87">
            <v>10017348</v>
          </cell>
          <cell r="AA87">
            <v>9977153</v>
          </cell>
          <cell r="AB87">
            <v>7915727</v>
          </cell>
          <cell r="AC87">
            <v>8257960</v>
          </cell>
          <cell r="AD87">
            <v>10174619</v>
          </cell>
          <cell r="AE87">
            <v>10575656</v>
          </cell>
          <cell r="AF87">
            <v>11889996</v>
          </cell>
          <cell r="AG87">
            <v>9922986</v>
          </cell>
          <cell r="AI87">
            <v>9817828</v>
          </cell>
        </row>
        <row r="88">
          <cell r="I88">
            <v>13912536</v>
          </cell>
          <cell r="J88">
            <v>10978821</v>
          </cell>
          <cell r="K88">
            <v>10589345</v>
          </cell>
          <cell r="L88">
            <v>12493799</v>
          </cell>
          <cell r="M88">
            <v>11842745</v>
          </cell>
          <cell r="N88">
            <v>11657365</v>
          </cell>
          <cell r="O88">
            <v>12696546</v>
          </cell>
          <cell r="P88">
            <v>9010763</v>
          </cell>
          <cell r="Q88">
            <v>8948520</v>
          </cell>
          <cell r="R88">
            <v>10989558</v>
          </cell>
          <cell r="S88">
            <v>10678936</v>
          </cell>
          <cell r="T88">
            <v>11982318</v>
          </cell>
          <cell r="U88">
            <v>10469228</v>
          </cell>
          <cell r="V88">
            <v>9798944</v>
          </cell>
          <cell r="W88">
            <v>9473997</v>
          </cell>
          <cell r="X88">
            <v>8938861</v>
          </cell>
          <cell r="Y88">
            <v>9664153</v>
          </cell>
          <cell r="Z88">
            <v>10317053</v>
          </cell>
          <cell r="AA88">
            <v>10421916</v>
          </cell>
          <cell r="AB88">
            <v>8908567</v>
          </cell>
          <cell r="AC88">
            <v>8832699</v>
          </cell>
          <cell r="AD88">
            <v>9469469</v>
          </cell>
          <cell r="AE88">
            <v>10276268</v>
          </cell>
          <cell r="AF88">
            <v>10541507</v>
          </cell>
          <cell r="AG88">
            <v>8722184</v>
          </cell>
          <cell r="AI88">
            <v>10978821</v>
          </cell>
        </row>
        <row r="89">
          <cell r="I89">
            <v>23256359</v>
          </cell>
          <cell r="J89">
            <v>19182573</v>
          </cell>
          <cell r="K89">
            <v>18079745</v>
          </cell>
          <cell r="L89">
            <v>21096628</v>
          </cell>
          <cell r="M89">
            <v>19775539</v>
          </cell>
          <cell r="N89">
            <v>20814467</v>
          </cell>
          <cell r="O89">
            <v>22963192</v>
          </cell>
          <cell r="P89">
            <v>17271249</v>
          </cell>
          <cell r="Q89">
            <v>17306117</v>
          </cell>
          <cell r="R89">
            <v>19816218</v>
          </cell>
          <cell r="S89">
            <v>19061832</v>
          </cell>
          <cell r="T89">
            <v>20721757</v>
          </cell>
          <cell r="U89">
            <v>20161622</v>
          </cell>
          <cell r="V89">
            <v>18719620</v>
          </cell>
          <cell r="W89">
            <v>17345107</v>
          </cell>
          <cell r="X89">
            <v>18669576</v>
          </cell>
          <cell r="Y89">
            <v>18260413</v>
          </cell>
          <cell r="Z89">
            <v>20744156</v>
          </cell>
          <cell r="AA89">
            <v>22782570</v>
          </cell>
          <cell r="AB89">
            <v>14884217</v>
          </cell>
          <cell r="AC89">
            <v>15687201</v>
          </cell>
          <cell r="AD89">
            <v>20240014</v>
          </cell>
          <cell r="AE89">
            <v>20811052</v>
          </cell>
          <cell r="AF89">
            <v>23082162</v>
          </cell>
          <cell r="AG89">
            <v>17615292</v>
          </cell>
          <cell r="AI89">
            <v>19182573</v>
          </cell>
        </row>
        <row r="91">
          <cell r="I91">
            <v>159412772</v>
          </cell>
          <cell r="J91">
            <v>159241719</v>
          </cell>
          <cell r="K91">
            <v>150847810</v>
          </cell>
          <cell r="L91">
            <v>155584159</v>
          </cell>
          <cell r="M91">
            <v>144215451</v>
          </cell>
          <cell r="N91">
            <v>150630150</v>
          </cell>
          <cell r="O91">
            <v>159488635</v>
          </cell>
          <cell r="P91">
            <v>151053083</v>
          </cell>
          <cell r="Q91">
            <v>149517279</v>
          </cell>
          <cell r="R91">
            <v>160490503</v>
          </cell>
          <cell r="S91">
            <v>157094598</v>
          </cell>
          <cell r="T91">
            <v>149874792</v>
          </cell>
          <cell r="U91">
            <v>156947830</v>
          </cell>
          <cell r="V91">
            <v>145483172</v>
          </cell>
          <cell r="W91">
            <v>139236532</v>
          </cell>
          <cell r="X91">
            <v>139073456</v>
          </cell>
          <cell r="Y91">
            <v>131086983</v>
          </cell>
          <cell r="Z91">
            <v>142697998</v>
          </cell>
          <cell r="AA91">
            <v>142484899</v>
          </cell>
          <cell r="AB91">
            <v>129148122</v>
          </cell>
          <cell r="AC91">
            <v>138629351</v>
          </cell>
          <cell r="AD91">
            <v>142182896</v>
          </cell>
          <cell r="AE91">
            <v>128286409</v>
          </cell>
          <cell r="AF91">
            <v>133356478</v>
          </cell>
          <cell r="AG91">
            <v>139468217</v>
          </cell>
          <cell r="AI91">
            <v>159241719</v>
          </cell>
        </row>
        <row r="92">
          <cell r="I92">
            <v>5698460</v>
          </cell>
          <cell r="J92">
            <v>5062300</v>
          </cell>
          <cell r="K92">
            <v>4988649</v>
          </cell>
          <cell r="L92">
            <v>5356691</v>
          </cell>
          <cell r="M92">
            <v>5195170</v>
          </cell>
          <cell r="N92">
            <v>5381919</v>
          </cell>
          <cell r="O92">
            <v>5679280</v>
          </cell>
          <cell r="P92">
            <v>5109677</v>
          </cell>
          <cell r="Q92">
            <v>6822791</v>
          </cell>
          <cell r="R92">
            <v>6335890</v>
          </cell>
          <cell r="S92">
            <v>7321232</v>
          </cell>
          <cell r="T92">
            <v>6869128</v>
          </cell>
          <cell r="U92">
            <v>6421617</v>
          </cell>
          <cell r="V92">
            <v>5747073</v>
          </cell>
          <cell r="W92">
            <v>5341548</v>
          </cell>
          <cell r="X92">
            <v>5499221</v>
          </cell>
          <cell r="Y92">
            <v>5853884</v>
          </cell>
          <cell r="Z92">
            <v>5775540</v>
          </cell>
          <cell r="AA92">
            <v>6091053</v>
          </cell>
          <cell r="AB92">
            <v>5611697</v>
          </cell>
          <cell r="AC92">
            <v>10846603</v>
          </cell>
          <cell r="AD92">
            <v>11581085</v>
          </cell>
          <cell r="AE92">
            <v>11874703</v>
          </cell>
          <cell r="AF92">
            <v>10142134</v>
          </cell>
          <cell r="AG92">
            <v>9708784</v>
          </cell>
          <cell r="AI92">
            <v>5062300</v>
          </cell>
        </row>
        <row r="93">
          <cell r="I93">
            <v>9144217</v>
          </cell>
          <cell r="J93">
            <v>9308795</v>
          </cell>
          <cell r="K93">
            <v>9784621</v>
          </cell>
          <cell r="L93">
            <v>9101109</v>
          </cell>
          <cell r="M93">
            <v>8270142</v>
          </cell>
          <cell r="N93">
            <v>8835409</v>
          </cell>
          <cell r="O93">
            <v>8346439</v>
          </cell>
          <cell r="P93">
            <v>8746197</v>
          </cell>
          <cell r="Q93">
            <v>9295315</v>
          </cell>
          <cell r="R93">
            <v>8849344</v>
          </cell>
          <cell r="S93">
            <v>9114320</v>
          </cell>
          <cell r="T93">
            <v>9094651</v>
          </cell>
          <cell r="U93">
            <v>8915237</v>
          </cell>
          <cell r="V93">
            <v>9320652</v>
          </cell>
          <cell r="W93">
            <v>9177887</v>
          </cell>
          <cell r="X93">
            <v>8290997</v>
          </cell>
          <cell r="Y93">
            <v>8940479</v>
          </cell>
          <cell r="Z93">
            <v>8665673</v>
          </cell>
          <cell r="AA93">
            <v>9058264</v>
          </cell>
          <cell r="AB93">
            <v>8599346</v>
          </cell>
          <cell r="AC93">
            <v>4431410</v>
          </cell>
          <cell r="AD93">
            <v>4626681</v>
          </cell>
          <cell r="AE93">
            <v>4375042</v>
          </cell>
          <cell r="AF93">
            <v>4830381</v>
          </cell>
          <cell r="AG93">
            <v>4736127</v>
          </cell>
          <cell r="AI93">
            <v>9308795</v>
          </cell>
        </row>
        <row r="94">
          <cell r="I94">
            <v>29046926</v>
          </cell>
          <cell r="J94">
            <v>27329813</v>
          </cell>
          <cell r="K94">
            <v>30376836</v>
          </cell>
          <cell r="L94">
            <v>28422876</v>
          </cell>
          <cell r="M94">
            <v>27005519</v>
          </cell>
          <cell r="N94">
            <v>25469205</v>
          </cell>
          <cell r="O94">
            <v>26418659</v>
          </cell>
          <cell r="P94">
            <v>27156736</v>
          </cell>
          <cell r="Q94">
            <v>31313278</v>
          </cell>
          <cell r="R94">
            <v>29589647</v>
          </cell>
          <cell r="S94">
            <v>29407184</v>
          </cell>
          <cell r="T94">
            <v>27512120</v>
          </cell>
          <cell r="U94">
            <v>31153213</v>
          </cell>
          <cell r="V94">
            <v>28670090</v>
          </cell>
          <cell r="W94">
            <v>30661646</v>
          </cell>
          <cell r="X94">
            <v>27725250</v>
          </cell>
          <cell r="Y94">
            <v>26746435</v>
          </cell>
          <cell r="Z94">
            <v>25499882</v>
          </cell>
          <cell r="AA94">
            <v>29388353</v>
          </cell>
          <cell r="AB94">
            <v>24693829</v>
          </cell>
          <cell r="AC94">
            <v>27899888</v>
          </cell>
          <cell r="AD94">
            <v>28533783</v>
          </cell>
          <cell r="AE94">
            <v>25656276</v>
          </cell>
          <cell r="AF94">
            <v>29376810</v>
          </cell>
          <cell r="AG94">
            <v>26930127</v>
          </cell>
          <cell r="AI94">
            <v>27329813</v>
          </cell>
        </row>
        <row r="95">
          <cell r="I95">
            <v>8114880</v>
          </cell>
          <cell r="J95">
            <v>7388858</v>
          </cell>
          <cell r="K95">
            <v>7093324</v>
          </cell>
          <cell r="L95">
            <v>7817902</v>
          </cell>
          <cell r="M95">
            <v>6695581</v>
          </cell>
          <cell r="N95">
            <v>7051385</v>
          </cell>
          <cell r="O95">
            <v>7125168</v>
          </cell>
          <cell r="P95">
            <v>7098270</v>
          </cell>
          <cell r="Q95">
            <v>7213132</v>
          </cell>
          <cell r="R95">
            <v>7800891</v>
          </cell>
          <cell r="S95">
            <v>7061869</v>
          </cell>
          <cell r="T95">
            <v>7846285</v>
          </cell>
          <cell r="U95">
            <v>7223965</v>
          </cell>
          <cell r="V95">
            <v>7261073</v>
          </cell>
          <cell r="W95">
            <v>6854166</v>
          </cell>
          <cell r="X95">
            <v>6680282</v>
          </cell>
          <cell r="Y95">
            <v>6400028</v>
          </cell>
          <cell r="Z95">
            <v>5633471</v>
          </cell>
          <cell r="AA95">
            <v>6149996</v>
          </cell>
          <cell r="AB95">
            <v>6200426</v>
          </cell>
          <cell r="AC95">
            <v>6134361</v>
          </cell>
          <cell r="AD95">
            <v>6863857</v>
          </cell>
          <cell r="AE95">
            <v>6336393</v>
          </cell>
          <cell r="AF95">
            <v>6733379</v>
          </cell>
          <cell r="AG95">
            <v>6260407</v>
          </cell>
          <cell r="AI95">
            <v>7388858</v>
          </cell>
        </row>
        <row r="96">
          <cell r="I96">
            <v>14187102</v>
          </cell>
          <cell r="J96">
            <v>13667988</v>
          </cell>
          <cell r="K96">
            <v>13257947</v>
          </cell>
          <cell r="L96">
            <v>14067001</v>
          </cell>
          <cell r="M96">
            <v>12169684</v>
          </cell>
          <cell r="N96">
            <v>12200299</v>
          </cell>
          <cell r="O96">
            <v>12442886</v>
          </cell>
          <cell r="P96">
            <v>5017322</v>
          </cell>
          <cell r="Q96">
            <v>5617228</v>
          </cell>
          <cell r="R96">
            <v>5798540</v>
          </cell>
          <cell r="S96">
            <v>5536042</v>
          </cell>
          <cell r="T96">
            <v>5418640</v>
          </cell>
          <cell r="U96">
            <v>5346337</v>
          </cell>
          <cell r="V96">
            <v>5366271</v>
          </cell>
          <cell r="W96">
            <v>5083131</v>
          </cell>
          <cell r="X96">
            <v>6542635</v>
          </cell>
          <cell r="Y96">
            <v>7058470</v>
          </cell>
          <cell r="Z96">
            <v>6766710</v>
          </cell>
          <cell r="AA96">
            <v>6566968</v>
          </cell>
          <cell r="AB96">
            <v>6671837</v>
          </cell>
          <cell r="AC96">
            <v>6879014</v>
          </cell>
          <cell r="AD96">
            <v>7312327</v>
          </cell>
          <cell r="AE96">
            <v>6962144</v>
          </cell>
          <cell r="AF96">
            <v>6857796</v>
          </cell>
          <cell r="AG96">
            <v>6877838</v>
          </cell>
          <cell r="AI96">
            <v>13667988</v>
          </cell>
        </row>
        <row r="97">
          <cell r="I97">
            <v>10352448</v>
          </cell>
          <cell r="J97">
            <v>10225369</v>
          </cell>
          <cell r="K97">
            <v>10296235</v>
          </cell>
          <cell r="L97">
            <v>9145332</v>
          </cell>
          <cell r="M97">
            <v>9357741</v>
          </cell>
          <cell r="N97">
            <v>9344084</v>
          </cell>
          <cell r="O97">
            <v>8978920</v>
          </cell>
          <cell r="P97">
            <v>16108542</v>
          </cell>
          <cell r="Q97">
            <v>17776797</v>
          </cell>
          <cell r="R97">
            <v>17143256</v>
          </cell>
          <cell r="S97">
            <v>15843734</v>
          </cell>
          <cell r="T97">
            <v>18266069</v>
          </cell>
          <cell r="U97">
            <v>17526561</v>
          </cell>
          <cell r="V97">
            <v>16499200</v>
          </cell>
          <cell r="W97">
            <v>17064942</v>
          </cell>
          <cell r="X97">
            <v>15345735</v>
          </cell>
          <cell r="Y97">
            <v>16091112</v>
          </cell>
          <cell r="Z97">
            <v>15321094</v>
          </cell>
          <cell r="AA97">
            <v>17018061</v>
          </cell>
          <cell r="AB97">
            <v>15618837</v>
          </cell>
          <cell r="AC97">
            <v>15787689</v>
          </cell>
          <cell r="AD97">
            <v>17263662</v>
          </cell>
          <cell r="AE97">
            <v>17786101</v>
          </cell>
          <cell r="AF97">
            <v>15745037</v>
          </cell>
          <cell r="AG97">
            <v>16932271</v>
          </cell>
          <cell r="AI97">
            <v>10225369</v>
          </cell>
        </row>
        <row r="98">
          <cell r="I98">
            <v>7522258</v>
          </cell>
          <cell r="J98">
            <v>7510678</v>
          </cell>
          <cell r="K98">
            <v>8108700</v>
          </cell>
          <cell r="L98">
            <v>8031688</v>
          </cell>
          <cell r="M98">
            <v>7726240</v>
          </cell>
          <cell r="N98">
            <v>8074230</v>
          </cell>
          <cell r="O98">
            <v>7927594</v>
          </cell>
          <cell r="P98">
            <v>7383234</v>
          </cell>
          <cell r="Q98">
            <v>8250854</v>
          </cell>
          <cell r="R98">
            <v>8107396</v>
          </cell>
          <cell r="S98">
            <v>7985336</v>
          </cell>
          <cell r="T98">
            <v>8521226</v>
          </cell>
          <cell r="U98">
            <v>7156426</v>
          </cell>
          <cell r="V98">
            <v>7124713</v>
          </cell>
          <cell r="W98">
            <v>7905243</v>
          </cell>
          <cell r="X98">
            <v>6821323</v>
          </cell>
          <cell r="Y98">
            <v>6865646</v>
          </cell>
          <cell r="Z98">
            <v>7369556</v>
          </cell>
          <cell r="AA98">
            <v>7095419</v>
          </cell>
          <cell r="AB98">
            <v>8025879</v>
          </cell>
          <cell r="AC98">
            <v>7710444</v>
          </cell>
          <cell r="AD98">
            <v>8077640</v>
          </cell>
          <cell r="AE98">
            <v>8775678</v>
          </cell>
          <cell r="AF98">
            <v>7212642</v>
          </cell>
          <cell r="AG98">
            <v>7397647</v>
          </cell>
          <cell r="AI98">
            <v>7510678</v>
          </cell>
        </row>
        <row r="99">
          <cell r="I99">
            <v>8945431</v>
          </cell>
          <cell r="J99">
            <v>8835717</v>
          </cell>
          <cell r="K99">
            <v>9023749</v>
          </cell>
          <cell r="L99">
            <v>9178595</v>
          </cell>
          <cell r="M99">
            <v>8751994</v>
          </cell>
          <cell r="N99">
            <v>9174266</v>
          </cell>
          <cell r="O99">
            <v>8931424</v>
          </cell>
          <cell r="P99">
            <v>8762308</v>
          </cell>
          <cell r="Q99">
            <v>9894260</v>
          </cell>
          <cell r="R99">
            <v>10122589</v>
          </cell>
          <cell r="S99">
            <v>9829263</v>
          </cell>
          <cell r="T99">
            <v>10950524</v>
          </cell>
          <cell r="U99">
            <v>9630036</v>
          </cell>
          <cell r="V99">
            <v>9139923</v>
          </cell>
          <cell r="W99">
            <v>9979334</v>
          </cell>
          <cell r="X99">
            <v>8533520</v>
          </cell>
          <cell r="Y99">
            <v>8648964</v>
          </cell>
          <cell r="Z99">
            <v>8851622</v>
          </cell>
          <cell r="AA99">
            <v>8855462</v>
          </cell>
          <cell r="AB99">
            <v>9153127</v>
          </cell>
          <cell r="AC99">
            <v>9111747</v>
          </cell>
          <cell r="AD99">
            <v>9061567</v>
          </cell>
          <cell r="AE99">
            <v>8936205</v>
          </cell>
          <cell r="AF99">
            <v>8211018</v>
          </cell>
          <cell r="AG99">
            <v>8408575</v>
          </cell>
          <cell r="AI99">
            <v>8835717</v>
          </cell>
        </row>
        <row r="100">
          <cell r="I100">
            <v>9982492</v>
          </cell>
          <cell r="J100">
            <v>9559641</v>
          </cell>
          <cell r="K100">
            <v>10111191</v>
          </cell>
          <cell r="L100">
            <v>9471496</v>
          </cell>
          <cell r="M100">
            <v>9237686</v>
          </cell>
          <cell r="N100">
            <v>8885323</v>
          </cell>
          <cell r="O100">
            <v>9387124</v>
          </cell>
          <cell r="P100">
            <v>9235964</v>
          </cell>
          <cell r="Q100">
            <v>10112763</v>
          </cell>
          <cell r="R100">
            <v>10481908</v>
          </cell>
          <cell r="S100">
            <v>10241429</v>
          </cell>
          <cell r="T100">
            <v>10372308</v>
          </cell>
          <cell r="U100">
            <v>9844441</v>
          </cell>
          <cell r="V100">
            <v>9698695</v>
          </cell>
          <cell r="W100">
            <v>10010404</v>
          </cell>
          <cell r="X100">
            <v>9872551</v>
          </cell>
          <cell r="Y100">
            <v>9530449</v>
          </cell>
          <cell r="Z100">
            <v>9428882</v>
          </cell>
          <cell r="AA100">
            <v>9499837</v>
          </cell>
          <cell r="AB100">
            <v>10053119</v>
          </cell>
          <cell r="AC100">
            <v>9476741</v>
          </cell>
          <cell r="AD100">
            <v>11544864</v>
          </cell>
          <cell r="AE100">
            <v>10934364</v>
          </cell>
          <cell r="AF100">
            <v>10487279</v>
          </cell>
          <cell r="AG100">
            <v>10489731</v>
          </cell>
          <cell r="AI100">
            <v>9559641</v>
          </cell>
        </row>
        <row r="101">
          <cell r="I101">
            <v>4151207</v>
          </cell>
          <cell r="J101">
            <v>3978007</v>
          </cell>
          <cell r="K101">
            <v>3891739</v>
          </cell>
          <cell r="L101">
            <v>3863386</v>
          </cell>
          <cell r="M101">
            <v>3979013</v>
          </cell>
          <cell r="N101">
            <v>4071255</v>
          </cell>
          <cell r="O101">
            <v>4117396</v>
          </cell>
          <cell r="P101">
            <v>3724682</v>
          </cell>
          <cell r="Q101">
            <v>6330260</v>
          </cell>
          <cell r="R101">
            <v>6110202</v>
          </cell>
          <cell r="S101">
            <v>5256623</v>
          </cell>
          <cell r="T101">
            <v>7102821</v>
          </cell>
          <cell r="U101">
            <v>6376513</v>
          </cell>
          <cell r="V101">
            <v>6541735</v>
          </cell>
          <cell r="W101">
            <v>6638361</v>
          </cell>
          <cell r="X101">
            <v>5884601</v>
          </cell>
          <cell r="Y101">
            <v>6233359</v>
          </cell>
          <cell r="Z101">
            <v>5997528</v>
          </cell>
          <cell r="AA101">
            <v>6168659</v>
          </cell>
          <cell r="AB101">
            <v>5870957</v>
          </cell>
          <cell r="AC101">
            <v>6527278</v>
          </cell>
          <cell r="AD101">
            <v>6509088</v>
          </cell>
          <cell r="AE101">
            <v>5097299</v>
          </cell>
          <cell r="AF101">
            <v>6945850</v>
          </cell>
          <cell r="AG101">
            <v>6750680</v>
          </cell>
          <cell r="AI101">
            <v>3978007</v>
          </cell>
        </row>
        <row r="102">
          <cell r="I102">
            <v>20354843</v>
          </cell>
          <cell r="J102">
            <v>16224547</v>
          </cell>
          <cell r="K102">
            <v>16914078</v>
          </cell>
          <cell r="L102">
            <v>16524546</v>
          </cell>
          <cell r="M102">
            <v>15359324</v>
          </cell>
          <cell r="N102">
            <v>16269105</v>
          </cell>
          <cell r="O102">
            <v>16418724</v>
          </cell>
          <cell r="P102">
            <v>15034367</v>
          </cell>
          <cell r="Q102">
            <v>17510650</v>
          </cell>
          <cell r="R102">
            <v>16993375</v>
          </cell>
          <cell r="S102">
            <v>16471349</v>
          </cell>
          <cell r="T102">
            <v>19253684</v>
          </cell>
          <cell r="U102">
            <v>16798071</v>
          </cell>
          <cell r="V102">
            <v>17257706</v>
          </cell>
          <cell r="W102">
            <v>15850809</v>
          </cell>
          <cell r="X102">
            <v>14052406</v>
          </cell>
          <cell r="Y102">
            <v>15039012</v>
          </cell>
          <cell r="Z102">
            <v>13677784</v>
          </cell>
          <cell r="AA102">
            <v>16188783</v>
          </cell>
          <cell r="AB102">
            <v>14783300</v>
          </cell>
          <cell r="AC102">
            <v>16327357</v>
          </cell>
          <cell r="AD102">
            <v>18163253</v>
          </cell>
          <cell r="AE102">
            <v>17370901</v>
          </cell>
          <cell r="AF102">
            <v>16741621</v>
          </cell>
          <cell r="AG102">
            <v>16208876</v>
          </cell>
          <cell r="AI102">
            <v>16224547</v>
          </cell>
        </row>
        <row r="103">
          <cell r="I103">
            <v>3590286</v>
          </cell>
          <cell r="J103">
            <v>3381496</v>
          </cell>
          <cell r="K103">
            <v>3918879</v>
          </cell>
          <cell r="L103">
            <v>3680997</v>
          </cell>
          <cell r="M103">
            <v>3648293</v>
          </cell>
          <cell r="N103">
            <v>3139226</v>
          </cell>
          <cell r="O103">
            <v>4204532</v>
          </cell>
          <cell r="P103">
            <v>3667802</v>
          </cell>
          <cell r="Q103">
            <v>3966290</v>
          </cell>
          <cell r="R103">
            <v>4759110</v>
          </cell>
          <cell r="S103">
            <v>4370521</v>
          </cell>
          <cell r="T103">
            <v>4650055</v>
          </cell>
          <cell r="U103">
            <v>4182770</v>
          </cell>
          <cell r="V103">
            <v>4333287</v>
          </cell>
          <cell r="W103">
            <v>4423346</v>
          </cell>
          <cell r="X103">
            <v>3858845</v>
          </cell>
          <cell r="Y103">
            <v>4042319</v>
          </cell>
          <cell r="Z103">
            <v>3907258</v>
          </cell>
          <cell r="AA103">
            <v>4645614</v>
          </cell>
          <cell r="AB103">
            <v>3830289</v>
          </cell>
          <cell r="AC103">
            <v>4609763</v>
          </cell>
          <cell r="AD103">
            <v>4582156</v>
          </cell>
          <cell r="AE103">
            <v>5178567</v>
          </cell>
          <cell r="AF103">
            <v>4819719</v>
          </cell>
          <cell r="AG103">
            <v>4459134</v>
          </cell>
          <cell r="AI103">
            <v>3381496</v>
          </cell>
        </row>
        <row r="104">
          <cell r="I104">
            <v>22044135</v>
          </cell>
          <cell r="J104">
            <v>19560228</v>
          </cell>
          <cell r="K104">
            <v>20238958</v>
          </cell>
          <cell r="L104">
            <v>20325863</v>
          </cell>
          <cell r="M104">
            <v>19249020</v>
          </cell>
          <cell r="N104">
            <v>21617974</v>
          </cell>
          <cell r="O104">
            <v>21511647</v>
          </cell>
          <cell r="P104">
            <v>20602367</v>
          </cell>
          <cell r="Q104">
            <v>18539052</v>
          </cell>
          <cell r="R104">
            <v>21622404</v>
          </cell>
          <cell r="S104">
            <v>19881179</v>
          </cell>
          <cell r="T104">
            <v>20774822</v>
          </cell>
          <cell r="U104">
            <v>19666518</v>
          </cell>
          <cell r="V104">
            <v>19853481</v>
          </cell>
          <cell r="W104">
            <v>19917519</v>
          </cell>
          <cell r="X104">
            <v>18681830</v>
          </cell>
          <cell r="Y104">
            <v>17472039</v>
          </cell>
          <cell r="Z104">
            <v>19401260</v>
          </cell>
          <cell r="AA104">
            <v>19425811</v>
          </cell>
          <cell r="AB104">
            <v>19235099</v>
          </cell>
          <cell r="AC104">
            <v>19747869</v>
          </cell>
          <cell r="AD104">
            <v>20682652</v>
          </cell>
          <cell r="AE104">
            <v>19270390</v>
          </cell>
          <cell r="AF104">
            <v>18629672</v>
          </cell>
          <cell r="AG104">
            <v>18902100</v>
          </cell>
          <cell r="AI104">
            <v>19560228</v>
          </cell>
        </row>
        <row r="105">
          <cell r="I105">
            <v>15695354</v>
          </cell>
          <cell r="J105">
            <v>14480788</v>
          </cell>
          <cell r="K105">
            <v>14223041</v>
          </cell>
          <cell r="L105">
            <v>14369028</v>
          </cell>
          <cell r="M105">
            <v>14668420</v>
          </cell>
          <cell r="N105">
            <v>15383781</v>
          </cell>
          <cell r="O105">
            <v>13325023</v>
          </cell>
          <cell r="P105">
            <v>14518613</v>
          </cell>
          <cell r="Q105">
            <v>14140557</v>
          </cell>
          <cell r="R105">
            <v>14471428</v>
          </cell>
          <cell r="S105">
            <v>14844720</v>
          </cell>
          <cell r="T105">
            <v>16232184</v>
          </cell>
          <cell r="U105">
            <v>13565932</v>
          </cell>
          <cell r="V105">
            <v>14325256</v>
          </cell>
          <cell r="W105">
            <v>14935696</v>
          </cell>
          <cell r="X105">
            <v>12778338</v>
          </cell>
          <cell r="Y105">
            <v>13408550</v>
          </cell>
          <cell r="Z105">
            <v>13881086</v>
          </cell>
          <cell r="AA105">
            <v>13475351</v>
          </cell>
          <cell r="AB105">
            <v>13039843</v>
          </cell>
          <cell r="AC105">
            <v>13361453</v>
          </cell>
          <cell r="AD105">
            <v>14571068</v>
          </cell>
          <cell r="AE105">
            <v>12307807</v>
          </cell>
          <cell r="AF105">
            <v>14550820</v>
          </cell>
          <cell r="AG105">
            <v>11848749</v>
          </cell>
          <cell r="AI105">
            <v>14480788</v>
          </cell>
        </row>
        <row r="106">
          <cell r="I106">
            <v>21856062</v>
          </cell>
          <cell r="J106">
            <v>21930133</v>
          </cell>
          <cell r="K106">
            <v>19797388</v>
          </cell>
          <cell r="L106">
            <v>20735090</v>
          </cell>
          <cell r="M106">
            <v>22073181</v>
          </cell>
          <cell r="N106">
            <v>22816648</v>
          </cell>
          <cell r="O106">
            <v>23515101</v>
          </cell>
          <cell r="P106">
            <v>21728918</v>
          </cell>
          <cell r="Q106">
            <v>22978778</v>
          </cell>
          <cell r="R106">
            <v>26191259</v>
          </cell>
          <cell r="S106">
            <v>27891020</v>
          </cell>
          <cell r="T106">
            <v>26201750</v>
          </cell>
          <cell r="U106">
            <v>25604194</v>
          </cell>
          <cell r="V106">
            <v>25556988</v>
          </cell>
          <cell r="W106">
            <v>24465368</v>
          </cell>
          <cell r="X106">
            <v>23968906</v>
          </cell>
          <cell r="Y106">
            <v>24836340</v>
          </cell>
          <cell r="Z106">
            <v>24030034</v>
          </cell>
          <cell r="AA106">
            <v>26345831</v>
          </cell>
          <cell r="AB106">
            <v>22298251</v>
          </cell>
          <cell r="AC106">
            <v>23883943</v>
          </cell>
          <cell r="AD106">
            <v>26228579</v>
          </cell>
          <cell r="AE106">
            <v>24920141</v>
          </cell>
          <cell r="AF106">
            <v>22894067</v>
          </cell>
          <cell r="AG106">
            <v>22502483</v>
          </cell>
          <cell r="AI106">
            <v>21930133</v>
          </cell>
        </row>
        <row r="107">
          <cell r="I107">
            <v>21584704</v>
          </cell>
          <cell r="J107">
            <v>20196378</v>
          </cell>
          <cell r="K107">
            <v>20260751</v>
          </cell>
          <cell r="L107">
            <v>19298924</v>
          </cell>
          <cell r="M107">
            <v>18281790</v>
          </cell>
          <cell r="N107">
            <v>19778911</v>
          </cell>
          <cell r="O107">
            <v>18591678</v>
          </cell>
          <cell r="P107">
            <v>19145075</v>
          </cell>
          <cell r="Q107">
            <v>19632899</v>
          </cell>
          <cell r="R107">
            <v>21583027</v>
          </cell>
          <cell r="S107">
            <v>20893778</v>
          </cell>
          <cell r="T107">
            <v>21019619</v>
          </cell>
          <cell r="U107">
            <v>20269807</v>
          </cell>
          <cell r="V107">
            <v>20095838</v>
          </cell>
          <cell r="W107">
            <v>21791976</v>
          </cell>
          <cell r="X107">
            <v>19222246</v>
          </cell>
          <cell r="Y107">
            <v>19686956</v>
          </cell>
          <cell r="Z107">
            <v>19204584</v>
          </cell>
          <cell r="AA107">
            <v>19421011</v>
          </cell>
          <cell r="AB107">
            <v>20264359</v>
          </cell>
          <cell r="AC107">
            <v>19780329</v>
          </cell>
          <cell r="AD107">
            <v>22232015</v>
          </cell>
          <cell r="AE107">
            <v>21178535</v>
          </cell>
          <cell r="AF107">
            <v>21298183</v>
          </cell>
          <cell r="AG107">
            <v>19306489</v>
          </cell>
          <cell r="AI107">
            <v>20196378</v>
          </cell>
        </row>
        <row r="108">
          <cell r="I108">
            <v>17282747</v>
          </cell>
          <cell r="J108">
            <v>15558820</v>
          </cell>
          <cell r="K108">
            <v>16051240</v>
          </cell>
          <cell r="L108">
            <v>15596962</v>
          </cell>
          <cell r="M108">
            <v>15986736</v>
          </cell>
          <cell r="N108">
            <v>16548649</v>
          </cell>
          <cell r="O108">
            <v>15613923</v>
          </cell>
          <cell r="P108">
            <v>14447624</v>
          </cell>
          <cell r="Q108">
            <v>17384515</v>
          </cell>
          <cell r="R108">
            <v>15436703</v>
          </cell>
          <cell r="S108">
            <v>16128608</v>
          </cell>
          <cell r="T108">
            <v>15397810</v>
          </cell>
          <cell r="U108">
            <v>15264143</v>
          </cell>
          <cell r="V108">
            <v>15859544</v>
          </cell>
          <cell r="W108">
            <v>16018091</v>
          </cell>
          <cell r="X108">
            <v>14833091</v>
          </cell>
          <cell r="Y108">
            <v>14708477</v>
          </cell>
          <cell r="Z108">
            <v>14011490</v>
          </cell>
          <cell r="AA108">
            <v>15032111</v>
          </cell>
          <cell r="AB108">
            <v>14138119</v>
          </cell>
          <cell r="AC108">
            <v>14162950</v>
          </cell>
          <cell r="AD108">
            <v>16582493</v>
          </cell>
          <cell r="AE108">
            <v>16073289</v>
          </cell>
          <cell r="AF108">
            <v>15441424</v>
          </cell>
          <cell r="AG108">
            <v>15451052</v>
          </cell>
          <cell r="AI108">
            <v>15558820</v>
          </cell>
        </row>
        <row r="109">
          <cell r="I109">
            <v>16150038</v>
          </cell>
          <cell r="J109">
            <v>17043901</v>
          </cell>
          <cell r="K109">
            <v>16010141</v>
          </cell>
          <cell r="L109">
            <v>17942372</v>
          </cell>
          <cell r="M109">
            <v>15889032</v>
          </cell>
          <cell r="N109">
            <v>15309989</v>
          </cell>
          <cell r="O109">
            <v>17803062</v>
          </cell>
          <cell r="P109">
            <v>15945174</v>
          </cell>
          <cell r="Q109">
            <v>16936052</v>
          </cell>
          <cell r="R109">
            <v>18104768</v>
          </cell>
          <cell r="S109">
            <v>16326629</v>
          </cell>
          <cell r="T109">
            <v>16179032</v>
          </cell>
          <cell r="U109">
            <v>18229379</v>
          </cell>
          <cell r="V109">
            <v>16290769</v>
          </cell>
          <cell r="W109">
            <v>15854723</v>
          </cell>
          <cell r="X109">
            <v>17354584</v>
          </cell>
          <cell r="Y109">
            <v>17460321</v>
          </cell>
          <cell r="Z109">
            <v>12635760</v>
          </cell>
          <cell r="AA109">
            <v>15099454</v>
          </cell>
          <cell r="AB109">
            <v>16076974</v>
          </cell>
          <cell r="AC109">
            <v>16773173</v>
          </cell>
          <cell r="AD109">
            <v>16128830</v>
          </cell>
          <cell r="AE109">
            <v>14293082</v>
          </cell>
          <cell r="AF109">
            <v>13463146</v>
          </cell>
          <cell r="AG109">
            <v>13543053</v>
          </cell>
          <cell r="AI109">
            <v>17043901</v>
          </cell>
        </row>
        <row r="110">
          <cell r="I110">
            <v>90418380</v>
          </cell>
          <cell r="J110">
            <v>24674504</v>
          </cell>
          <cell r="K110">
            <v>58687257</v>
          </cell>
          <cell r="L110">
            <v>73930800</v>
          </cell>
          <cell r="M110">
            <v>49040089</v>
          </cell>
          <cell r="N110">
            <v>59858927</v>
          </cell>
          <cell r="O110">
            <v>63555720</v>
          </cell>
          <cell r="P110">
            <v>49600294</v>
          </cell>
          <cell r="Q110">
            <v>60465479</v>
          </cell>
          <cell r="R110">
            <v>59012761</v>
          </cell>
          <cell r="S110">
            <v>59248827</v>
          </cell>
          <cell r="T110">
            <v>62052857</v>
          </cell>
          <cell r="U110">
            <v>61790296</v>
          </cell>
          <cell r="V110">
            <v>56809222</v>
          </cell>
          <cell r="W110">
            <v>60479755</v>
          </cell>
          <cell r="X110">
            <v>58660799</v>
          </cell>
          <cell r="Y110">
            <v>55799767</v>
          </cell>
          <cell r="Z110">
            <v>62349523</v>
          </cell>
          <cell r="AA110">
            <v>57410373</v>
          </cell>
          <cell r="AB110">
            <v>59994545</v>
          </cell>
          <cell r="AC110">
            <v>67558668</v>
          </cell>
          <cell r="AD110">
            <v>48323715</v>
          </cell>
          <cell r="AE110">
            <v>56376595</v>
          </cell>
          <cell r="AF110">
            <v>67592302</v>
          </cell>
          <cell r="AG110">
            <v>48504495</v>
          </cell>
          <cell r="AI110">
            <v>24674504</v>
          </cell>
        </row>
        <row r="112">
          <cell r="I112">
            <v>2542301</v>
          </cell>
          <cell r="J112">
            <v>2229705</v>
          </cell>
          <cell r="K112">
            <v>2593165</v>
          </cell>
          <cell r="L112">
            <v>2602188</v>
          </cell>
          <cell r="M112">
            <v>2450693</v>
          </cell>
          <cell r="N112">
            <v>2686341</v>
          </cell>
          <cell r="O112">
            <v>2693346</v>
          </cell>
          <cell r="P112">
            <v>2506345</v>
          </cell>
          <cell r="Q112">
            <v>2323628</v>
          </cell>
          <cell r="R112">
            <v>2238860</v>
          </cell>
          <cell r="S112">
            <v>2370260</v>
          </cell>
          <cell r="T112">
            <v>2232856</v>
          </cell>
          <cell r="U112">
            <v>2298807</v>
          </cell>
          <cell r="V112">
            <v>2460061</v>
          </cell>
          <cell r="W112">
            <v>2398368</v>
          </cell>
          <cell r="X112">
            <v>2507317</v>
          </cell>
          <cell r="Y112">
            <v>2023072</v>
          </cell>
          <cell r="Z112">
            <v>2330949</v>
          </cell>
          <cell r="AA112">
            <v>2223011</v>
          </cell>
          <cell r="AB112">
            <v>2152188</v>
          </cell>
          <cell r="AC112">
            <v>2024185</v>
          </cell>
          <cell r="AD112">
            <v>1967667</v>
          </cell>
          <cell r="AE112">
            <v>1970107</v>
          </cell>
          <cell r="AF112">
            <v>1985811</v>
          </cell>
          <cell r="AG112">
            <v>1791903</v>
          </cell>
          <cell r="AI112">
            <v>2229705</v>
          </cell>
        </row>
        <row r="113">
          <cell r="I113">
            <v>3140</v>
          </cell>
          <cell r="J113">
            <v>4021</v>
          </cell>
          <cell r="K113">
            <v>6440</v>
          </cell>
          <cell r="L113">
            <v>8091</v>
          </cell>
          <cell r="M113">
            <v>7256</v>
          </cell>
          <cell r="N113">
            <v>9507</v>
          </cell>
          <cell r="O113">
            <v>4394</v>
          </cell>
          <cell r="P113">
            <v>4802</v>
          </cell>
          <cell r="Q113">
            <v>3811</v>
          </cell>
          <cell r="R113">
            <v>3572</v>
          </cell>
          <cell r="S113">
            <v>3865</v>
          </cell>
          <cell r="T113">
            <v>3222</v>
          </cell>
          <cell r="U113">
            <v>3075</v>
          </cell>
          <cell r="V113">
            <v>4665</v>
          </cell>
          <cell r="W113">
            <v>211967</v>
          </cell>
          <cell r="X113">
            <v>241300</v>
          </cell>
          <cell r="Y113">
            <v>248283</v>
          </cell>
          <cell r="Z113">
            <v>236369</v>
          </cell>
          <cell r="AA113">
            <v>245171</v>
          </cell>
          <cell r="AB113">
            <v>282716</v>
          </cell>
          <cell r="AC113">
            <v>276481</v>
          </cell>
          <cell r="AD113">
            <v>258701</v>
          </cell>
          <cell r="AE113">
            <v>264506</v>
          </cell>
          <cell r="AF113">
            <v>282947</v>
          </cell>
          <cell r="AG113">
            <v>269993</v>
          </cell>
          <cell r="AI113">
            <v>4021</v>
          </cell>
        </row>
        <row r="114">
          <cell r="I114">
            <v>2263922</v>
          </cell>
          <cell r="J114">
            <v>2146490</v>
          </cell>
          <cell r="K114">
            <v>2506245</v>
          </cell>
          <cell r="L114">
            <v>2520669</v>
          </cell>
          <cell r="M114">
            <v>2197609</v>
          </cell>
          <cell r="N114">
            <v>2255681</v>
          </cell>
          <cell r="O114">
            <v>2213856</v>
          </cell>
          <cell r="P114">
            <v>2092031</v>
          </cell>
          <cell r="Q114">
            <v>2242525</v>
          </cell>
          <cell r="R114">
            <v>2017670</v>
          </cell>
          <cell r="S114">
            <v>1812703</v>
          </cell>
          <cell r="T114">
            <v>2111872</v>
          </cell>
          <cell r="U114">
            <v>1959879</v>
          </cell>
          <cell r="V114">
            <v>2855144</v>
          </cell>
          <cell r="W114">
            <v>2258176</v>
          </cell>
          <cell r="X114">
            <v>2372620</v>
          </cell>
          <cell r="Y114">
            <v>2394495</v>
          </cell>
          <cell r="Z114">
            <v>2267023</v>
          </cell>
          <cell r="AA114">
            <v>2169477</v>
          </cell>
          <cell r="AB114">
            <v>1997748</v>
          </cell>
          <cell r="AC114">
            <v>1858383</v>
          </cell>
          <cell r="AD114">
            <v>1840742</v>
          </cell>
          <cell r="AE114">
            <v>1899817</v>
          </cell>
          <cell r="AF114">
            <v>1760199</v>
          </cell>
          <cell r="AG114">
            <v>1890250</v>
          </cell>
          <cell r="AI114">
            <v>2146490</v>
          </cell>
        </row>
        <row r="115">
          <cell r="I115">
            <v>530178</v>
          </cell>
          <cell r="J115">
            <v>521000</v>
          </cell>
          <cell r="K115">
            <v>579400</v>
          </cell>
          <cell r="L115">
            <v>528200</v>
          </cell>
          <cell r="M115">
            <v>548600</v>
          </cell>
          <cell r="N115">
            <v>615800</v>
          </cell>
          <cell r="O115">
            <v>551800</v>
          </cell>
          <cell r="P115">
            <v>507800</v>
          </cell>
          <cell r="Q115">
            <v>558800</v>
          </cell>
          <cell r="R115">
            <v>558200</v>
          </cell>
          <cell r="S115">
            <v>409200</v>
          </cell>
          <cell r="T115">
            <v>552800</v>
          </cell>
          <cell r="U115">
            <v>423600</v>
          </cell>
          <cell r="V115">
            <v>539000</v>
          </cell>
          <cell r="W115">
            <v>883945</v>
          </cell>
          <cell r="X115">
            <v>840469</v>
          </cell>
          <cell r="Y115">
            <v>980749</v>
          </cell>
          <cell r="Z115">
            <v>1024709</v>
          </cell>
          <cell r="AA115">
            <v>899899</v>
          </cell>
          <cell r="AB115">
            <v>836984</v>
          </cell>
          <cell r="AC115">
            <v>823192</v>
          </cell>
          <cell r="AD115">
            <v>822209</v>
          </cell>
          <cell r="AE115">
            <v>902303</v>
          </cell>
          <cell r="AF115">
            <v>875170</v>
          </cell>
          <cell r="AG115">
            <v>1538620</v>
          </cell>
          <cell r="AI115">
            <v>521000</v>
          </cell>
        </row>
        <row r="116">
          <cell r="I116">
            <v>6721905</v>
          </cell>
          <cell r="J116">
            <v>6856938</v>
          </cell>
          <cell r="K116">
            <v>6987922</v>
          </cell>
          <cell r="L116">
            <v>7176359</v>
          </cell>
          <cell r="M116">
            <v>6747192</v>
          </cell>
          <cell r="N116">
            <v>6929743</v>
          </cell>
          <cell r="O116">
            <v>7376029</v>
          </cell>
          <cell r="P116">
            <v>6518186</v>
          </cell>
          <cell r="Q116">
            <v>5629976</v>
          </cell>
          <cell r="R116">
            <v>5537091</v>
          </cell>
          <cell r="S116">
            <v>5028373</v>
          </cell>
          <cell r="T116">
            <v>1263233</v>
          </cell>
          <cell r="U116">
            <v>1345827</v>
          </cell>
          <cell r="V116">
            <v>1342348</v>
          </cell>
          <cell r="W116">
            <v>1435618</v>
          </cell>
          <cell r="X116">
            <v>1488026</v>
          </cell>
          <cell r="Y116">
            <v>1752142</v>
          </cell>
          <cell r="Z116">
            <v>1749168</v>
          </cell>
          <cell r="AA116">
            <v>1704172</v>
          </cell>
          <cell r="AB116">
            <v>1540360</v>
          </cell>
          <cell r="AC116">
            <v>1485152</v>
          </cell>
          <cell r="AD116">
            <v>1362133</v>
          </cell>
          <cell r="AE116">
            <v>1506128</v>
          </cell>
          <cell r="AF116">
            <v>1369304</v>
          </cell>
          <cell r="AG116">
            <v>1548116</v>
          </cell>
          <cell r="AI116">
            <v>6856938</v>
          </cell>
        </row>
        <row r="117">
          <cell r="I117">
            <v>6322891</v>
          </cell>
          <cell r="J117">
            <v>6860995</v>
          </cell>
          <cell r="K117">
            <v>7544975</v>
          </cell>
          <cell r="L117">
            <v>7539743</v>
          </cell>
          <cell r="M117">
            <v>8350788</v>
          </cell>
          <cell r="N117">
            <v>6010773</v>
          </cell>
          <cell r="O117">
            <v>7687505</v>
          </cell>
          <cell r="P117">
            <v>6612872</v>
          </cell>
          <cell r="Q117">
            <v>6232669</v>
          </cell>
          <cell r="R117">
            <v>6391373</v>
          </cell>
          <cell r="S117">
            <v>6072188</v>
          </cell>
          <cell r="T117">
            <v>5152175</v>
          </cell>
          <cell r="U117">
            <v>5894154</v>
          </cell>
          <cell r="V117">
            <v>5829164</v>
          </cell>
          <cell r="W117">
            <v>5823734</v>
          </cell>
          <cell r="X117">
            <v>3662139</v>
          </cell>
          <cell r="Y117">
            <v>6417399</v>
          </cell>
          <cell r="Z117">
            <v>5333716</v>
          </cell>
          <cell r="AA117">
            <v>5421721</v>
          </cell>
          <cell r="AB117">
            <v>5850269</v>
          </cell>
          <cell r="AC117">
            <v>5160123</v>
          </cell>
          <cell r="AD117">
            <v>4905229</v>
          </cell>
          <cell r="AE117">
            <v>5407980</v>
          </cell>
          <cell r="AF117">
            <v>3630781</v>
          </cell>
          <cell r="AG117">
            <v>6151242</v>
          </cell>
          <cell r="AI117">
            <v>6860995</v>
          </cell>
        </row>
        <row r="118">
          <cell r="I118">
            <v>293303</v>
          </cell>
          <cell r="J118">
            <v>322505</v>
          </cell>
          <cell r="K118">
            <v>377357</v>
          </cell>
          <cell r="L118">
            <v>404746</v>
          </cell>
          <cell r="M118">
            <v>406355</v>
          </cell>
          <cell r="N118">
            <v>448233</v>
          </cell>
          <cell r="O118">
            <v>230371</v>
          </cell>
          <cell r="P118">
            <v>189657</v>
          </cell>
          <cell r="Q118">
            <v>159658</v>
          </cell>
          <cell r="R118">
            <v>188091</v>
          </cell>
          <cell r="S118">
            <v>188352</v>
          </cell>
          <cell r="T118">
            <v>218335</v>
          </cell>
          <cell r="U118">
            <v>215820</v>
          </cell>
          <cell r="V118">
            <v>220765</v>
          </cell>
          <cell r="W118">
            <v>174866</v>
          </cell>
          <cell r="X118">
            <v>151459</v>
          </cell>
          <cell r="Y118">
            <v>94962</v>
          </cell>
          <cell r="Z118">
            <v>195944</v>
          </cell>
          <cell r="AA118">
            <v>117229</v>
          </cell>
          <cell r="AB118">
            <v>111239</v>
          </cell>
          <cell r="AC118">
            <v>108068</v>
          </cell>
          <cell r="AD118">
            <v>105251</v>
          </cell>
          <cell r="AE118">
            <v>135299</v>
          </cell>
          <cell r="AF118">
            <v>162341</v>
          </cell>
          <cell r="AG118">
            <v>166084</v>
          </cell>
          <cell r="AI118">
            <v>322505</v>
          </cell>
        </row>
        <row r="119">
          <cell r="I119">
            <v>3168848</v>
          </cell>
          <cell r="J119">
            <v>3639620</v>
          </cell>
          <cell r="K119">
            <v>3364394</v>
          </cell>
          <cell r="L119">
            <v>3495381</v>
          </cell>
          <cell r="M119">
            <v>3512129</v>
          </cell>
          <cell r="N119">
            <v>3215562</v>
          </cell>
          <cell r="O119">
            <v>2986763</v>
          </cell>
          <cell r="P119">
            <v>2865984</v>
          </cell>
          <cell r="Q119">
            <v>2052083</v>
          </cell>
          <cell r="R119">
            <v>2191292</v>
          </cell>
          <cell r="S119">
            <v>2465633</v>
          </cell>
          <cell r="T119">
            <v>5442145</v>
          </cell>
          <cell r="U119">
            <v>7359808</v>
          </cell>
          <cell r="V119">
            <v>5353896</v>
          </cell>
          <cell r="W119">
            <v>2903838</v>
          </cell>
          <cell r="X119">
            <v>2377679</v>
          </cell>
          <cell r="Y119">
            <v>2498730</v>
          </cell>
          <cell r="Z119">
            <v>2724980</v>
          </cell>
          <cell r="AA119">
            <v>2534203</v>
          </cell>
          <cell r="AB119">
            <v>2487164</v>
          </cell>
          <cell r="AC119">
            <v>2429094</v>
          </cell>
          <cell r="AD119">
            <v>2425994</v>
          </cell>
          <cell r="AE119">
            <v>2464670</v>
          </cell>
          <cell r="AF119">
            <v>1180302</v>
          </cell>
          <cell r="AG119">
            <v>2068226</v>
          </cell>
          <cell r="AI119">
            <v>3639620</v>
          </cell>
        </row>
        <row r="120">
          <cell r="I120">
            <v>275654</v>
          </cell>
          <cell r="J120">
            <v>280099</v>
          </cell>
          <cell r="K120">
            <v>319486</v>
          </cell>
          <cell r="L120">
            <v>351290</v>
          </cell>
          <cell r="M120">
            <v>385940</v>
          </cell>
          <cell r="N120">
            <v>383423</v>
          </cell>
          <cell r="O120">
            <v>363249</v>
          </cell>
          <cell r="P120">
            <v>286975</v>
          </cell>
          <cell r="Q120">
            <v>287088</v>
          </cell>
          <cell r="R120">
            <v>288034</v>
          </cell>
          <cell r="S120">
            <v>309357</v>
          </cell>
          <cell r="T120">
            <v>786338</v>
          </cell>
          <cell r="U120">
            <v>1094445</v>
          </cell>
          <cell r="V120">
            <v>775039</v>
          </cell>
          <cell r="W120">
            <v>533911</v>
          </cell>
          <cell r="X120">
            <v>797372</v>
          </cell>
          <cell r="Y120">
            <v>1023212</v>
          </cell>
          <cell r="Z120">
            <v>1088323</v>
          </cell>
          <cell r="AA120">
            <v>833460</v>
          </cell>
          <cell r="AB120">
            <v>742657</v>
          </cell>
          <cell r="AC120">
            <v>796163</v>
          </cell>
          <cell r="AD120">
            <v>711610</v>
          </cell>
          <cell r="AE120">
            <v>733975</v>
          </cell>
          <cell r="AF120">
            <v>911070</v>
          </cell>
          <cell r="AG120">
            <v>930471</v>
          </cell>
          <cell r="AI120">
            <v>280099</v>
          </cell>
        </row>
        <row r="121">
          <cell r="I121">
            <v>1302183</v>
          </cell>
          <cell r="J121">
            <v>1379642</v>
          </cell>
          <cell r="K121">
            <v>1452952</v>
          </cell>
          <cell r="L121">
            <v>1502289</v>
          </cell>
          <cell r="M121">
            <v>1490630</v>
          </cell>
          <cell r="N121">
            <v>1487802</v>
          </cell>
          <cell r="O121">
            <v>1390257</v>
          </cell>
          <cell r="P121">
            <v>1008298</v>
          </cell>
          <cell r="Q121">
            <v>1079247</v>
          </cell>
          <cell r="R121">
            <v>890037</v>
          </cell>
          <cell r="S121">
            <v>1205833</v>
          </cell>
          <cell r="T121">
            <v>971298</v>
          </cell>
          <cell r="U121">
            <v>1141211</v>
          </cell>
          <cell r="V121">
            <v>1344532</v>
          </cell>
          <cell r="W121">
            <v>1526287</v>
          </cell>
          <cell r="X121">
            <v>1572724</v>
          </cell>
          <cell r="Y121">
            <v>1520612</v>
          </cell>
          <cell r="Z121">
            <v>1753708</v>
          </cell>
          <cell r="AA121">
            <v>1696027</v>
          </cell>
          <cell r="AB121">
            <v>1550585</v>
          </cell>
          <cell r="AC121">
            <v>1278856</v>
          </cell>
          <cell r="AD121">
            <v>1403363</v>
          </cell>
          <cell r="AE121">
            <v>1386447</v>
          </cell>
          <cell r="AF121">
            <v>1329703</v>
          </cell>
          <cell r="AG121">
            <v>1328668</v>
          </cell>
          <cell r="AI121">
            <v>1379642</v>
          </cell>
        </row>
        <row r="122">
          <cell r="I122">
            <v>1884542</v>
          </cell>
          <cell r="J122">
            <v>1909867</v>
          </cell>
          <cell r="K122">
            <v>1819612</v>
          </cell>
          <cell r="L122">
            <v>2128272</v>
          </cell>
          <cell r="M122">
            <v>1676495</v>
          </cell>
          <cell r="N122">
            <v>1778704</v>
          </cell>
          <cell r="O122">
            <v>1654389</v>
          </cell>
          <cell r="P122">
            <v>1740177</v>
          </cell>
          <cell r="Q122">
            <v>1706420</v>
          </cell>
          <cell r="R122">
            <v>1818289</v>
          </cell>
          <cell r="S122">
            <v>1668187</v>
          </cell>
          <cell r="T122">
            <v>1715522</v>
          </cell>
          <cell r="U122">
            <v>1849074</v>
          </cell>
          <cell r="V122">
            <v>1147472</v>
          </cell>
          <cell r="W122">
            <v>240354</v>
          </cell>
          <cell r="X122">
            <v>296978</v>
          </cell>
          <cell r="Y122">
            <v>295372</v>
          </cell>
          <cell r="Z122">
            <v>341350</v>
          </cell>
          <cell r="AA122">
            <v>319787</v>
          </cell>
          <cell r="AB122">
            <v>332401</v>
          </cell>
          <cell r="AC122">
            <v>373280</v>
          </cell>
          <cell r="AD122">
            <v>472546</v>
          </cell>
          <cell r="AE122">
            <v>419014</v>
          </cell>
          <cell r="AF122">
            <v>431747</v>
          </cell>
          <cell r="AG122">
            <v>439388</v>
          </cell>
          <cell r="AI122">
            <v>1909867</v>
          </cell>
        </row>
        <row r="123">
          <cell r="I123">
            <v>3306995</v>
          </cell>
          <cell r="J123">
            <v>3648878</v>
          </cell>
          <cell r="K123">
            <v>3667273</v>
          </cell>
          <cell r="L123">
            <v>3499380</v>
          </cell>
          <cell r="M123">
            <v>3694775</v>
          </cell>
          <cell r="N123">
            <v>4694199</v>
          </cell>
          <cell r="O123">
            <v>2599279</v>
          </cell>
          <cell r="P123">
            <v>2576821</v>
          </cell>
          <cell r="Q123">
            <v>2191031</v>
          </cell>
          <cell r="R123">
            <v>2197654</v>
          </cell>
          <cell r="S123">
            <v>2041553</v>
          </cell>
          <cell r="T123">
            <v>1528516</v>
          </cell>
          <cell r="U123">
            <v>1767246</v>
          </cell>
          <cell r="V123">
            <v>1880620</v>
          </cell>
          <cell r="W123">
            <v>2459442</v>
          </cell>
          <cell r="X123">
            <v>2539113</v>
          </cell>
          <cell r="Y123">
            <v>2911173</v>
          </cell>
          <cell r="Z123">
            <v>3140628</v>
          </cell>
          <cell r="AA123">
            <v>2888202</v>
          </cell>
          <cell r="AB123">
            <v>2194030</v>
          </cell>
          <cell r="AC123">
            <v>1980476</v>
          </cell>
          <cell r="AD123">
            <v>2315939</v>
          </cell>
          <cell r="AE123">
            <v>2144621</v>
          </cell>
          <cell r="AF123">
            <v>2023710</v>
          </cell>
          <cell r="AG123">
            <v>2976275</v>
          </cell>
          <cell r="AI123">
            <v>3648878</v>
          </cell>
        </row>
        <row r="124">
          <cell r="I124">
            <v>94390</v>
          </cell>
          <cell r="J124">
            <v>71122</v>
          </cell>
          <cell r="K124">
            <v>115792</v>
          </cell>
          <cell r="L124">
            <v>48384</v>
          </cell>
          <cell r="M124">
            <v>29258</v>
          </cell>
          <cell r="N124">
            <v>28714</v>
          </cell>
          <cell r="O124">
            <v>71522</v>
          </cell>
          <cell r="P124">
            <v>66905</v>
          </cell>
          <cell r="Q124">
            <v>63667</v>
          </cell>
          <cell r="R124">
            <v>74041</v>
          </cell>
          <cell r="S124">
            <v>76911</v>
          </cell>
          <cell r="T124">
            <v>80593</v>
          </cell>
          <cell r="U124">
            <v>90785</v>
          </cell>
          <cell r="V124">
            <v>80705</v>
          </cell>
          <cell r="W124">
            <v>5979326</v>
          </cell>
          <cell r="X124">
            <v>4993646</v>
          </cell>
          <cell r="Y124">
            <v>5532134</v>
          </cell>
          <cell r="Z124">
            <v>5640755</v>
          </cell>
          <cell r="AA124">
            <v>5385948</v>
          </cell>
          <cell r="AB124">
            <v>4918336</v>
          </cell>
          <cell r="AC124">
            <v>4508825</v>
          </cell>
          <cell r="AD124">
            <v>4047306</v>
          </cell>
          <cell r="AE124">
            <v>4319925</v>
          </cell>
          <cell r="AF124">
            <v>4255538</v>
          </cell>
          <cell r="AG124">
            <v>4311447</v>
          </cell>
          <cell r="AI124">
            <v>71122</v>
          </cell>
        </row>
        <row r="125">
          <cell r="I125">
            <v>6198117</v>
          </cell>
          <cell r="J125">
            <v>5664220</v>
          </cell>
          <cell r="K125">
            <v>5907339</v>
          </cell>
          <cell r="L125">
            <v>6391210</v>
          </cell>
          <cell r="M125">
            <v>5992204</v>
          </cell>
          <cell r="N125">
            <v>6960970</v>
          </cell>
          <cell r="O125">
            <v>6195852</v>
          </cell>
          <cell r="P125">
            <v>4968386</v>
          </cell>
          <cell r="Q125">
            <v>4991722</v>
          </cell>
          <cell r="R125">
            <v>5527974</v>
          </cell>
          <cell r="S125">
            <v>4923070</v>
          </cell>
          <cell r="T125">
            <v>364632</v>
          </cell>
          <cell r="U125">
            <v>415215</v>
          </cell>
          <cell r="V125">
            <v>527099</v>
          </cell>
          <cell r="W125">
            <v>74962</v>
          </cell>
          <cell r="X125">
            <v>75641</v>
          </cell>
          <cell r="Y125">
            <v>67683</v>
          </cell>
          <cell r="Z125">
            <v>55992</v>
          </cell>
          <cell r="AA125">
            <v>81569</v>
          </cell>
          <cell r="AB125">
            <v>93455</v>
          </cell>
          <cell r="AC125">
            <v>110049</v>
          </cell>
          <cell r="AD125">
            <v>92532</v>
          </cell>
          <cell r="AE125">
            <v>108402</v>
          </cell>
          <cell r="AF125">
            <v>101132</v>
          </cell>
          <cell r="AG125">
            <v>31163</v>
          </cell>
          <cell r="AI125">
            <v>5664220</v>
          </cell>
        </row>
        <row r="126">
          <cell r="I126">
            <v>317894</v>
          </cell>
          <cell r="J126">
            <v>373115</v>
          </cell>
          <cell r="K126">
            <v>296502</v>
          </cell>
          <cell r="L126">
            <v>217702</v>
          </cell>
          <cell r="M126">
            <v>220321</v>
          </cell>
          <cell r="N126">
            <v>148230</v>
          </cell>
          <cell r="O126">
            <v>309423</v>
          </cell>
          <cell r="P126">
            <v>341083</v>
          </cell>
          <cell r="Q126">
            <v>367715</v>
          </cell>
          <cell r="R126">
            <v>367667</v>
          </cell>
          <cell r="S126">
            <v>451108</v>
          </cell>
          <cell r="T126">
            <v>5221190</v>
          </cell>
          <cell r="U126">
            <v>5936135</v>
          </cell>
          <cell r="V126">
            <v>6059595</v>
          </cell>
          <cell r="W126">
            <v>543480</v>
          </cell>
          <cell r="X126">
            <v>452737</v>
          </cell>
          <cell r="Y126">
            <v>710353</v>
          </cell>
          <cell r="Z126">
            <v>1124271</v>
          </cell>
          <cell r="AA126">
            <v>1821056</v>
          </cell>
          <cell r="AB126">
            <v>1967944</v>
          </cell>
          <cell r="AC126">
            <v>1992587</v>
          </cell>
          <cell r="AD126">
            <v>2137568</v>
          </cell>
          <cell r="AE126">
            <v>1534540</v>
          </cell>
          <cell r="AF126">
            <v>812973</v>
          </cell>
          <cell r="AG126">
            <v>1189330</v>
          </cell>
          <cell r="AI126">
            <v>373115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9600</v>
          </cell>
          <cell r="P127">
            <v>57600</v>
          </cell>
          <cell r="Q127">
            <v>41280</v>
          </cell>
          <cell r="R127">
            <v>50880</v>
          </cell>
          <cell r="S127">
            <v>46080</v>
          </cell>
          <cell r="T127">
            <v>40325</v>
          </cell>
          <cell r="U127">
            <v>55755</v>
          </cell>
          <cell r="V127">
            <v>61444</v>
          </cell>
          <cell r="W127">
            <v>4230675</v>
          </cell>
          <cell r="X127">
            <v>4222181</v>
          </cell>
          <cell r="Y127">
            <v>3859260</v>
          </cell>
          <cell r="Z127">
            <v>4493648</v>
          </cell>
          <cell r="AA127">
            <v>3672729</v>
          </cell>
          <cell r="AB127">
            <v>3473985</v>
          </cell>
          <cell r="AC127">
            <v>3964823</v>
          </cell>
          <cell r="AD127">
            <v>3650278</v>
          </cell>
          <cell r="AE127">
            <v>3663335</v>
          </cell>
          <cell r="AF127">
            <v>6604632</v>
          </cell>
          <cell r="AG127">
            <v>274450</v>
          </cell>
          <cell r="AI127">
            <v>0</v>
          </cell>
        </row>
        <row r="128">
          <cell r="I128">
            <v>839440</v>
          </cell>
          <cell r="J128">
            <v>759151</v>
          </cell>
          <cell r="K128">
            <v>915482</v>
          </cell>
          <cell r="L128">
            <v>1088196</v>
          </cell>
          <cell r="M128">
            <v>1011191</v>
          </cell>
          <cell r="N128">
            <v>1051764</v>
          </cell>
          <cell r="O128">
            <v>1119664</v>
          </cell>
          <cell r="P128">
            <v>1014672</v>
          </cell>
          <cell r="Q128">
            <v>893681</v>
          </cell>
          <cell r="R128">
            <v>945609</v>
          </cell>
          <cell r="S128">
            <v>959230</v>
          </cell>
          <cell r="T128">
            <v>985694</v>
          </cell>
          <cell r="U128">
            <v>916755</v>
          </cell>
          <cell r="V128">
            <v>885938</v>
          </cell>
          <cell r="W128">
            <v>2182201</v>
          </cell>
          <cell r="X128">
            <v>2027640</v>
          </cell>
          <cell r="Y128">
            <v>1809535</v>
          </cell>
          <cell r="Z128">
            <v>1997935</v>
          </cell>
          <cell r="AA128">
            <v>2098009</v>
          </cell>
          <cell r="AB128">
            <v>1504386</v>
          </cell>
          <cell r="AC128">
            <v>1528563</v>
          </cell>
          <cell r="AD128">
            <v>1597090</v>
          </cell>
          <cell r="AE128">
            <v>1432161</v>
          </cell>
          <cell r="AF128">
            <v>1322944</v>
          </cell>
          <cell r="AG128">
            <v>1456409</v>
          </cell>
          <cell r="AI128">
            <v>759151</v>
          </cell>
        </row>
        <row r="129">
          <cell r="I129">
            <v>764203</v>
          </cell>
          <cell r="J129">
            <v>696676</v>
          </cell>
          <cell r="K129">
            <v>749224</v>
          </cell>
          <cell r="L129">
            <v>666924</v>
          </cell>
          <cell r="M129">
            <v>618981</v>
          </cell>
          <cell r="N129">
            <v>508489</v>
          </cell>
          <cell r="O129">
            <v>708831</v>
          </cell>
          <cell r="P129">
            <v>586678</v>
          </cell>
          <cell r="Q129">
            <v>593151</v>
          </cell>
          <cell r="R129">
            <v>596384</v>
          </cell>
          <cell r="S129">
            <v>680620</v>
          </cell>
          <cell r="T129">
            <v>736640</v>
          </cell>
          <cell r="U129">
            <v>699030</v>
          </cell>
          <cell r="V129">
            <v>647935</v>
          </cell>
          <cell r="W129">
            <v>827681</v>
          </cell>
          <cell r="X129">
            <v>757735</v>
          </cell>
          <cell r="Y129">
            <v>676869</v>
          </cell>
          <cell r="Z129">
            <v>619822</v>
          </cell>
          <cell r="AA129">
            <v>780901</v>
          </cell>
          <cell r="AB129">
            <v>704177</v>
          </cell>
          <cell r="AC129">
            <v>646224</v>
          </cell>
          <cell r="AD129">
            <v>712088</v>
          </cell>
          <cell r="AE129">
            <v>644615</v>
          </cell>
          <cell r="AF129">
            <v>621494</v>
          </cell>
          <cell r="AG129">
            <v>696110</v>
          </cell>
          <cell r="AI129">
            <v>696676</v>
          </cell>
        </row>
        <row r="130">
          <cell r="I130">
            <v>4954646</v>
          </cell>
          <cell r="J130">
            <v>5022002</v>
          </cell>
          <cell r="K130">
            <v>4648411</v>
          </cell>
          <cell r="L130">
            <v>6249089</v>
          </cell>
          <cell r="M130">
            <v>5172569</v>
          </cell>
          <cell r="N130">
            <v>5133459</v>
          </cell>
          <cell r="O130">
            <v>5407416</v>
          </cell>
          <cell r="P130">
            <v>4581293</v>
          </cell>
          <cell r="Q130">
            <v>4067853</v>
          </cell>
          <cell r="R130">
            <v>4295767</v>
          </cell>
          <cell r="S130">
            <v>4523975</v>
          </cell>
          <cell r="T130">
            <v>3793540</v>
          </cell>
          <cell r="U130">
            <v>3969915</v>
          </cell>
          <cell r="V130">
            <v>3611630</v>
          </cell>
          <cell r="W130">
            <v>5492141</v>
          </cell>
          <cell r="X130">
            <v>5883869</v>
          </cell>
          <cell r="Y130">
            <v>6050493</v>
          </cell>
          <cell r="Z130">
            <v>7117629</v>
          </cell>
          <cell r="AA130">
            <v>5589245</v>
          </cell>
          <cell r="AB130">
            <v>5507688</v>
          </cell>
          <cell r="AC130">
            <v>5536590</v>
          </cell>
          <cell r="AD130">
            <v>4834037</v>
          </cell>
          <cell r="AE130">
            <v>4546614</v>
          </cell>
          <cell r="AF130">
            <v>4384091</v>
          </cell>
          <cell r="AG130">
            <v>4563216</v>
          </cell>
          <cell r="AI130">
            <v>5022002</v>
          </cell>
        </row>
        <row r="131">
          <cell r="I131">
            <v>4112140</v>
          </cell>
          <cell r="J131">
            <v>3996739</v>
          </cell>
          <cell r="K131">
            <v>4096862</v>
          </cell>
          <cell r="L131">
            <v>5127672</v>
          </cell>
          <cell r="M131">
            <v>4335467</v>
          </cell>
          <cell r="N131">
            <v>4384882</v>
          </cell>
          <cell r="O131">
            <v>4405477</v>
          </cell>
          <cell r="P131">
            <v>3619729</v>
          </cell>
          <cell r="Q131">
            <v>3150957</v>
          </cell>
          <cell r="R131">
            <v>2655924</v>
          </cell>
          <cell r="S131">
            <v>2827709</v>
          </cell>
          <cell r="T131">
            <v>2828816</v>
          </cell>
          <cell r="U131">
            <v>2582397</v>
          </cell>
          <cell r="V131">
            <v>2791430</v>
          </cell>
          <cell r="W131">
            <v>3543799</v>
          </cell>
          <cell r="X131">
            <v>5736705</v>
          </cell>
          <cell r="Y131">
            <v>1784545</v>
          </cell>
          <cell r="Z131">
            <v>5319564</v>
          </cell>
          <cell r="AA131">
            <v>4283119</v>
          </cell>
          <cell r="AB131">
            <v>3444871</v>
          </cell>
          <cell r="AC131">
            <v>3070084</v>
          </cell>
          <cell r="AD131">
            <v>3479749</v>
          </cell>
          <cell r="AE131">
            <v>2821275</v>
          </cell>
          <cell r="AF131">
            <v>2863701</v>
          </cell>
          <cell r="AG131">
            <v>3832878</v>
          </cell>
          <cell r="AI131">
            <v>3996739</v>
          </cell>
        </row>
        <row r="133">
          <cell r="I133">
            <v>51840</v>
          </cell>
          <cell r="J133">
            <v>54731</v>
          </cell>
          <cell r="K133">
            <v>60463</v>
          </cell>
          <cell r="L133">
            <v>71443</v>
          </cell>
          <cell r="M133">
            <v>74425</v>
          </cell>
          <cell r="N133">
            <v>85840</v>
          </cell>
          <cell r="O133">
            <v>90178</v>
          </cell>
          <cell r="P133">
            <v>83441</v>
          </cell>
          <cell r="Q133">
            <v>83692</v>
          </cell>
          <cell r="R133">
            <v>80637</v>
          </cell>
          <cell r="S133">
            <v>81080</v>
          </cell>
          <cell r="T133">
            <v>72006</v>
          </cell>
          <cell r="U133">
            <v>70821</v>
          </cell>
          <cell r="V133">
            <v>73983</v>
          </cell>
          <cell r="W133">
            <v>74576</v>
          </cell>
          <cell r="X133">
            <v>80686</v>
          </cell>
          <cell r="Y133">
            <v>81563</v>
          </cell>
          <cell r="Z133">
            <v>93789</v>
          </cell>
          <cell r="AA133">
            <v>92941</v>
          </cell>
          <cell r="AB133">
            <v>85772</v>
          </cell>
          <cell r="AC133">
            <v>85433</v>
          </cell>
          <cell r="AD133">
            <v>81863</v>
          </cell>
          <cell r="AE133">
            <v>79609</v>
          </cell>
          <cell r="AF133">
            <v>72137</v>
          </cell>
          <cell r="AG133">
            <v>70042</v>
          </cell>
          <cell r="AI133">
            <v>54731</v>
          </cell>
        </row>
        <row r="134">
          <cell r="I134">
            <v>197867</v>
          </cell>
          <cell r="J134">
            <v>209609</v>
          </cell>
          <cell r="K134">
            <v>228923</v>
          </cell>
          <cell r="L134">
            <v>259078</v>
          </cell>
          <cell r="M134">
            <v>258995</v>
          </cell>
          <cell r="N134">
            <v>310435</v>
          </cell>
          <cell r="O134">
            <v>301521</v>
          </cell>
          <cell r="P134">
            <v>279108</v>
          </cell>
          <cell r="Q134">
            <v>281121</v>
          </cell>
          <cell r="R134">
            <v>255393</v>
          </cell>
          <cell r="S134">
            <v>245164</v>
          </cell>
          <cell r="T134">
            <v>238039</v>
          </cell>
          <cell r="U134">
            <v>218798</v>
          </cell>
          <cell r="V134">
            <v>221818</v>
          </cell>
          <cell r="W134">
            <v>228731</v>
          </cell>
          <cell r="X134">
            <v>266709</v>
          </cell>
          <cell r="Y134">
            <v>276146</v>
          </cell>
          <cell r="Z134">
            <v>310023</v>
          </cell>
          <cell r="AA134">
            <v>305717</v>
          </cell>
          <cell r="AB134">
            <v>284140</v>
          </cell>
          <cell r="AC134">
            <v>279026</v>
          </cell>
          <cell r="AD134">
            <v>259327</v>
          </cell>
          <cell r="AE134">
            <v>289286</v>
          </cell>
          <cell r="AF134">
            <v>229109</v>
          </cell>
          <cell r="AG134">
            <v>205479</v>
          </cell>
          <cell r="AI134">
            <v>209609</v>
          </cell>
        </row>
        <row r="135">
          <cell r="I135">
            <v>64352</v>
          </cell>
          <cell r="J135">
            <v>68064</v>
          </cell>
          <cell r="K135">
            <v>75372</v>
          </cell>
          <cell r="L135">
            <v>83194</v>
          </cell>
          <cell r="M135">
            <v>79151</v>
          </cell>
          <cell r="N135">
            <v>104058</v>
          </cell>
          <cell r="O135">
            <v>103770</v>
          </cell>
          <cell r="P135">
            <v>97365</v>
          </cell>
          <cell r="Q135">
            <v>95465</v>
          </cell>
          <cell r="R135">
            <v>86992</v>
          </cell>
          <cell r="S135">
            <v>99437</v>
          </cell>
          <cell r="T135">
            <v>90530</v>
          </cell>
          <cell r="U135">
            <v>71168</v>
          </cell>
          <cell r="V135">
            <v>74673</v>
          </cell>
          <cell r="W135">
            <v>75220</v>
          </cell>
          <cell r="X135">
            <v>81471</v>
          </cell>
          <cell r="Y135">
            <v>84600</v>
          </cell>
          <cell r="Z135">
            <v>96797</v>
          </cell>
          <cell r="AA135">
            <v>92124</v>
          </cell>
          <cell r="AB135">
            <v>82162</v>
          </cell>
          <cell r="AC135">
            <v>85497</v>
          </cell>
          <cell r="AD135">
            <v>78406</v>
          </cell>
          <cell r="AE135">
            <v>75059</v>
          </cell>
          <cell r="AF135">
            <v>72244</v>
          </cell>
          <cell r="AG135">
            <v>69493</v>
          </cell>
          <cell r="AI135">
            <v>68064</v>
          </cell>
        </row>
        <row r="136">
          <cell r="I136">
            <v>63872</v>
          </cell>
          <cell r="J136">
            <v>66927</v>
          </cell>
          <cell r="K136">
            <v>77152</v>
          </cell>
          <cell r="L136">
            <v>90454</v>
          </cell>
          <cell r="M136">
            <v>90609</v>
          </cell>
          <cell r="N136">
            <v>111599</v>
          </cell>
          <cell r="O136">
            <v>105826</v>
          </cell>
          <cell r="P136">
            <v>101384</v>
          </cell>
          <cell r="Q136">
            <v>98637</v>
          </cell>
          <cell r="R136">
            <v>91228</v>
          </cell>
          <cell r="S136">
            <v>90680</v>
          </cell>
          <cell r="T136">
            <v>86220</v>
          </cell>
          <cell r="U136">
            <v>85138</v>
          </cell>
          <cell r="V136">
            <v>79943</v>
          </cell>
          <cell r="W136">
            <v>83897</v>
          </cell>
          <cell r="X136">
            <v>88782</v>
          </cell>
          <cell r="Y136">
            <v>87031</v>
          </cell>
          <cell r="Z136">
            <v>103948</v>
          </cell>
          <cell r="AA136">
            <v>100083</v>
          </cell>
          <cell r="AB136">
            <v>96267</v>
          </cell>
          <cell r="AC136">
            <v>95746</v>
          </cell>
          <cell r="AD136">
            <v>88625</v>
          </cell>
          <cell r="AE136">
            <v>86094</v>
          </cell>
          <cell r="AF136">
            <v>90182</v>
          </cell>
          <cell r="AG136">
            <v>82585</v>
          </cell>
          <cell r="AI136">
            <v>66927</v>
          </cell>
        </row>
        <row r="137">
          <cell r="I137">
            <v>161062</v>
          </cell>
          <cell r="J137">
            <v>177477</v>
          </cell>
          <cell r="K137">
            <v>195583</v>
          </cell>
          <cell r="L137">
            <v>223339</v>
          </cell>
          <cell r="M137">
            <v>227046</v>
          </cell>
          <cell r="N137">
            <v>267585</v>
          </cell>
          <cell r="O137">
            <v>272655</v>
          </cell>
          <cell r="P137">
            <v>248446</v>
          </cell>
          <cell r="Q137">
            <v>240289</v>
          </cell>
          <cell r="R137">
            <v>211662</v>
          </cell>
          <cell r="S137">
            <v>199080</v>
          </cell>
          <cell r="T137">
            <v>189948</v>
          </cell>
          <cell r="U137">
            <v>180745</v>
          </cell>
          <cell r="V137">
            <v>198675</v>
          </cell>
          <cell r="W137">
            <v>206638</v>
          </cell>
          <cell r="X137">
            <v>229885</v>
          </cell>
          <cell r="Y137">
            <v>230381</v>
          </cell>
          <cell r="Z137">
            <v>266720</v>
          </cell>
          <cell r="AA137">
            <v>271320</v>
          </cell>
          <cell r="AB137">
            <v>251779</v>
          </cell>
          <cell r="AC137">
            <v>239883</v>
          </cell>
          <cell r="AD137">
            <v>216631</v>
          </cell>
          <cell r="AE137">
            <v>218799</v>
          </cell>
          <cell r="AF137">
            <v>223117</v>
          </cell>
          <cell r="AG137">
            <v>184947</v>
          </cell>
          <cell r="AI137">
            <v>177477</v>
          </cell>
        </row>
        <row r="138">
          <cell r="I138">
            <v>142134</v>
          </cell>
          <cell r="J138">
            <v>150846</v>
          </cell>
          <cell r="K138">
            <v>164721</v>
          </cell>
          <cell r="L138">
            <v>188472</v>
          </cell>
          <cell r="M138">
            <v>194872</v>
          </cell>
          <cell r="N138">
            <v>226673</v>
          </cell>
          <cell r="O138">
            <v>217567</v>
          </cell>
          <cell r="P138">
            <v>195987</v>
          </cell>
          <cell r="Q138">
            <v>187429</v>
          </cell>
          <cell r="R138">
            <v>167356</v>
          </cell>
          <cell r="S138">
            <v>156406</v>
          </cell>
          <cell r="T138">
            <v>148433</v>
          </cell>
          <cell r="U138">
            <v>140074</v>
          </cell>
          <cell r="V138">
            <v>154796</v>
          </cell>
          <cell r="W138">
            <v>163045</v>
          </cell>
          <cell r="X138">
            <v>171650</v>
          </cell>
          <cell r="Y138">
            <v>173158</v>
          </cell>
          <cell r="Z138">
            <v>210735</v>
          </cell>
          <cell r="AA138">
            <v>199541</v>
          </cell>
          <cell r="AB138">
            <v>178456</v>
          </cell>
          <cell r="AC138">
            <v>168780</v>
          </cell>
          <cell r="AD138">
            <v>158119</v>
          </cell>
          <cell r="AE138">
            <v>149333</v>
          </cell>
          <cell r="AF138">
            <v>142013</v>
          </cell>
          <cell r="AG138">
            <v>137691</v>
          </cell>
          <cell r="AI138">
            <v>150846</v>
          </cell>
        </row>
        <row r="139">
          <cell r="I139">
            <v>154142</v>
          </cell>
          <cell r="J139">
            <v>167110</v>
          </cell>
          <cell r="K139">
            <v>182754</v>
          </cell>
          <cell r="L139">
            <v>211519</v>
          </cell>
          <cell r="M139">
            <v>213528</v>
          </cell>
          <cell r="N139">
            <v>255963</v>
          </cell>
          <cell r="O139">
            <v>279709</v>
          </cell>
          <cell r="P139">
            <v>246533</v>
          </cell>
          <cell r="Q139">
            <v>235623</v>
          </cell>
          <cell r="R139">
            <v>210018</v>
          </cell>
          <cell r="S139">
            <v>196753</v>
          </cell>
          <cell r="T139">
            <v>182589</v>
          </cell>
          <cell r="U139">
            <v>172333</v>
          </cell>
          <cell r="V139">
            <v>187003</v>
          </cell>
          <cell r="W139">
            <v>224924</v>
          </cell>
          <cell r="X139">
            <v>252350</v>
          </cell>
          <cell r="Y139">
            <v>252350</v>
          </cell>
          <cell r="Z139">
            <v>297135</v>
          </cell>
          <cell r="AA139">
            <v>297598</v>
          </cell>
          <cell r="AB139">
            <v>276281</v>
          </cell>
          <cell r="AC139">
            <v>264099</v>
          </cell>
          <cell r="AD139">
            <v>239317</v>
          </cell>
          <cell r="AE139">
            <v>222878</v>
          </cell>
          <cell r="AF139">
            <v>210065</v>
          </cell>
          <cell r="AG139">
            <v>215002</v>
          </cell>
          <cell r="AI139">
            <v>167110</v>
          </cell>
        </row>
        <row r="140">
          <cell r="I140">
            <v>33093</v>
          </cell>
          <cell r="J140">
            <v>36312</v>
          </cell>
          <cell r="K140">
            <v>44199</v>
          </cell>
          <cell r="L140">
            <v>49375</v>
          </cell>
          <cell r="M140">
            <v>43881</v>
          </cell>
          <cell r="N140">
            <v>57230</v>
          </cell>
          <cell r="O140">
            <v>57896</v>
          </cell>
          <cell r="P140">
            <v>67290</v>
          </cell>
          <cell r="Q140">
            <v>71472</v>
          </cell>
          <cell r="R140">
            <v>62271</v>
          </cell>
          <cell r="S140">
            <v>56430</v>
          </cell>
          <cell r="T140">
            <v>48481</v>
          </cell>
          <cell r="U140">
            <v>46217</v>
          </cell>
          <cell r="V140">
            <v>64429</v>
          </cell>
          <cell r="W140">
            <v>75977</v>
          </cell>
          <cell r="X140">
            <v>78509</v>
          </cell>
          <cell r="Y140">
            <v>49883</v>
          </cell>
          <cell r="Z140">
            <v>126145</v>
          </cell>
          <cell r="AA140">
            <v>93831</v>
          </cell>
          <cell r="AB140">
            <v>91665</v>
          </cell>
          <cell r="AC140">
            <v>92764</v>
          </cell>
          <cell r="AD140">
            <v>82391</v>
          </cell>
          <cell r="AE140">
            <v>76402</v>
          </cell>
          <cell r="AF140">
            <v>75600</v>
          </cell>
          <cell r="AG140">
            <v>71947</v>
          </cell>
          <cell r="AI140">
            <v>36312</v>
          </cell>
        </row>
        <row r="141">
          <cell r="I141">
            <v>154029</v>
          </cell>
          <cell r="J141">
            <v>168650</v>
          </cell>
          <cell r="K141">
            <v>183325</v>
          </cell>
          <cell r="L141">
            <v>213167</v>
          </cell>
          <cell r="M141">
            <v>213132</v>
          </cell>
          <cell r="N141">
            <v>259091</v>
          </cell>
          <cell r="O141">
            <v>262745</v>
          </cell>
          <cell r="P141">
            <v>239602</v>
          </cell>
          <cell r="Q141">
            <v>227380</v>
          </cell>
          <cell r="R141">
            <v>204463</v>
          </cell>
          <cell r="S141">
            <v>191448</v>
          </cell>
          <cell r="T141">
            <v>181255</v>
          </cell>
          <cell r="U141">
            <v>169773</v>
          </cell>
          <cell r="V141">
            <v>181024</v>
          </cell>
          <cell r="W141">
            <v>195785</v>
          </cell>
          <cell r="X141">
            <v>209572</v>
          </cell>
          <cell r="Y141">
            <v>210024</v>
          </cell>
          <cell r="Z141">
            <v>252511</v>
          </cell>
          <cell r="AA141">
            <v>258859</v>
          </cell>
          <cell r="AB141">
            <v>230790</v>
          </cell>
          <cell r="AC141">
            <v>221548</v>
          </cell>
          <cell r="AD141">
            <v>196865</v>
          </cell>
          <cell r="AE141">
            <v>184056</v>
          </cell>
          <cell r="AF141">
            <v>172883</v>
          </cell>
          <cell r="AG141">
            <v>164000</v>
          </cell>
          <cell r="AI141">
            <v>168650</v>
          </cell>
        </row>
        <row r="142">
          <cell r="I142">
            <v>75702</v>
          </cell>
          <cell r="J142">
            <v>83998</v>
          </cell>
          <cell r="K142">
            <v>93345</v>
          </cell>
          <cell r="L142">
            <v>107951</v>
          </cell>
          <cell r="M142">
            <v>115786</v>
          </cell>
          <cell r="N142">
            <v>147159</v>
          </cell>
          <cell r="O142">
            <v>138847</v>
          </cell>
          <cell r="P142">
            <v>128438</v>
          </cell>
          <cell r="Q142">
            <v>123581</v>
          </cell>
          <cell r="R142">
            <v>110921</v>
          </cell>
          <cell r="S142">
            <v>103384</v>
          </cell>
          <cell r="T142">
            <v>91803</v>
          </cell>
          <cell r="U142">
            <v>93758</v>
          </cell>
          <cell r="V142">
            <v>93903</v>
          </cell>
          <cell r="W142">
            <v>118718</v>
          </cell>
          <cell r="X142">
            <v>127243</v>
          </cell>
          <cell r="Y142">
            <v>128644</v>
          </cell>
          <cell r="Z142">
            <v>155000</v>
          </cell>
          <cell r="AA142">
            <v>158008</v>
          </cell>
          <cell r="AB142">
            <v>137181</v>
          </cell>
          <cell r="AC142">
            <v>138560</v>
          </cell>
          <cell r="AD142">
            <v>121141</v>
          </cell>
          <cell r="AE142">
            <v>111339</v>
          </cell>
          <cell r="AF142">
            <v>109872</v>
          </cell>
          <cell r="AG142">
            <v>106461</v>
          </cell>
          <cell r="AI142">
            <v>83998</v>
          </cell>
        </row>
        <row r="143">
          <cell r="I143">
            <v>201496</v>
          </cell>
          <cell r="J143">
            <v>217310</v>
          </cell>
          <cell r="K143">
            <v>235266</v>
          </cell>
          <cell r="L143">
            <v>273353</v>
          </cell>
          <cell r="M143">
            <v>275196</v>
          </cell>
          <cell r="N143">
            <v>321265</v>
          </cell>
          <cell r="O143">
            <v>328727</v>
          </cell>
          <cell r="P143">
            <v>307385</v>
          </cell>
          <cell r="Q143">
            <v>293101</v>
          </cell>
          <cell r="R143">
            <v>256161</v>
          </cell>
          <cell r="S143">
            <v>240912</v>
          </cell>
          <cell r="T143">
            <v>222588</v>
          </cell>
          <cell r="U143">
            <v>212762</v>
          </cell>
          <cell r="V143">
            <v>215455</v>
          </cell>
          <cell r="W143">
            <v>230936</v>
          </cell>
          <cell r="X143">
            <v>259340</v>
          </cell>
          <cell r="Y143">
            <v>257729</v>
          </cell>
          <cell r="Z143">
            <v>303776</v>
          </cell>
          <cell r="AA143">
            <v>303557</v>
          </cell>
          <cell r="AB143">
            <v>286297</v>
          </cell>
          <cell r="AC143">
            <v>275928</v>
          </cell>
          <cell r="AD143">
            <v>251260</v>
          </cell>
          <cell r="AE143">
            <v>232661</v>
          </cell>
          <cell r="AF143">
            <v>218485</v>
          </cell>
          <cell r="AG143">
            <v>209366</v>
          </cell>
          <cell r="AI143">
            <v>217310</v>
          </cell>
        </row>
        <row r="144">
          <cell r="I144">
            <v>134515</v>
          </cell>
          <cell r="J144">
            <v>140512</v>
          </cell>
          <cell r="K144">
            <v>162131</v>
          </cell>
          <cell r="L144">
            <v>179362</v>
          </cell>
          <cell r="M144">
            <v>187859</v>
          </cell>
          <cell r="N144">
            <v>228507</v>
          </cell>
          <cell r="O144">
            <v>228247</v>
          </cell>
          <cell r="P144">
            <v>189268</v>
          </cell>
          <cell r="Q144">
            <v>181278</v>
          </cell>
          <cell r="R144">
            <v>163823</v>
          </cell>
          <cell r="S144">
            <v>150974</v>
          </cell>
          <cell r="T144">
            <v>148026</v>
          </cell>
          <cell r="U144">
            <v>135973</v>
          </cell>
          <cell r="V144">
            <v>148848</v>
          </cell>
          <cell r="W144">
            <v>162671</v>
          </cell>
          <cell r="X144">
            <v>174269</v>
          </cell>
          <cell r="Y144">
            <v>178493</v>
          </cell>
          <cell r="Z144">
            <v>212668</v>
          </cell>
          <cell r="AA144">
            <v>209622</v>
          </cell>
          <cell r="AB144">
            <v>189550</v>
          </cell>
          <cell r="AC144">
            <v>177669</v>
          </cell>
          <cell r="AD144">
            <v>165338</v>
          </cell>
          <cell r="AE144">
            <v>150644</v>
          </cell>
          <cell r="AF144">
            <v>135528</v>
          </cell>
          <cell r="AG144">
            <v>144150</v>
          </cell>
          <cell r="AI144">
            <v>140512</v>
          </cell>
        </row>
        <row r="145">
          <cell r="I145">
            <v>66124</v>
          </cell>
          <cell r="J145">
            <v>69075</v>
          </cell>
          <cell r="K145">
            <v>79486</v>
          </cell>
          <cell r="L145">
            <v>95273</v>
          </cell>
          <cell r="M145">
            <v>97221</v>
          </cell>
          <cell r="N145">
            <v>116638</v>
          </cell>
          <cell r="O145">
            <v>114429</v>
          </cell>
          <cell r="P145">
            <v>107038</v>
          </cell>
          <cell r="Q145">
            <v>100397</v>
          </cell>
          <cell r="R145">
            <v>92146</v>
          </cell>
          <cell r="S145">
            <v>86607</v>
          </cell>
          <cell r="T145">
            <v>83800</v>
          </cell>
          <cell r="U145">
            <v>77159</v>
          </cell>
          <cell r="V145">
            <v>76478</v>
          </cell>
          <cell r="W145">
            <v>89032</v>
          </cell>
          <cell r="X145">
            <v>98160</v>
          </cell>
          <cell r="Y145">
            <v>98190</v>
          </cell>
          <cell r="Z145">
            <v>117940</v>
          </cell>
          <cell r="AA145">
            <v>119996</v>
          </cell>
          <cell r="AB145">
            <v>111412</v>
          </cell>
          <cell r="AC145">
            <v>108491</v>
          </cell>
          <cell r="AD145">
            <v>95608</v>
          </cell>
          <cell r="AE145">
            <v>90275</v>
          </cell>
          <cell r="AF145">
            <v>83105</v>
          </cell>
          <cell r="AG145">
            <v>82916</v>
          </cell>
          <cell r="AI145">
            <v>69075</v>
          </cell>
        </row>
        <row r="146">
          <cell r="I146">
            <v>54557</v>
          </cell>
          <cell r="J146">
            <v>58478</v>
          </cell>
          <cell r="K146">
            <v>64517</v>
          </cell>
          <cell r="L146">
            <v>76665</v>
          </cell>
          <cell r="M146">
            <v>82498</v>
          </cell>
          <cell r="N146">
            <v>95826</v>
          </cell>
          <cell r="O146">
            <v>97893</v>
          </cell>
          <cell r="P146">
            <v>108163</v>
          </cell>
          <cell r="Q146">
            <v>97136</v>
          </cell>
          <cell r="R146">
            <v>88088</v>
          </cell>
          <cell r="S146">
            <v>82618</v>
          </cell>
          <cell r="T146">
            <v>95536</v>
          </cell>
          <cell r="U146">
            <v>89890</v>
          </cell>
          <cell r="V146">
            <v>104687</v>
          </cell>
          <cell r="W146">
            <v>88767</v>
          </cell>
          <cell r="X146">
            <v>95868</v>
          </cell>
          <cell r="Y146">
            <v>97119</v>
          </cell>
          <cell r="Z146">
            <v>128525</v>
          </cell>
          <cell r="AA146">
            <v>115422</v>
          </cell>
          <cell r="AB146">
            <v>111344</v>
          </cell>
          <cell r="AC146">
            <v>104910</v>
          </cell>
          <cell r="AD146">
            <v>94460</v>
          </cell>
          <cell r="AE146">
            <v>83277</v>
          </cell>
          <cell r="AF146">
            <v>82063</v>
          </cell>
          <cell r="AG146">
            <v>76306</v>
          </cell>
          <cell r="AI146">
            <v>58478</v>
          </cell>
        </row>
        <row r="147">
          <cell r="I147">
            <v>139093</v>
          </cell>
          <cell r="J147">
            <v>158356</v>
          </cell>
          <cell r="K147">
            <v>169127</v>
          </cell>
          <cell r="L147">
            <v>192001</v>
          </cell>
          <cell r="M147">
            <v>194422</v>
          </cell>
          <cell r="N147">
            <v>237274</v>
          </cell>
          <cell r="O147">
            <v>238705</v>
          </cell>
          <cell r="P147">
            <v>221369</v>
          </cell>
          <cell r="Q147">
            <v>214591</v>
          </cell>
          <cell r="R147">
            <v>193222</v>
          </cell>
          <cell r="S147">
            <v>179592</v>
          </cell>
          <cell r="T147">
            <v>145565</v>
          </cell>
          <cell r="U147">
            <v>136642</v>
          </cell>
          <cell r="V147">
            <v>149334</v>
          </cell>
          <cell r="W147">
            <v>158932</v>
          </cell>
          <cell r="X147">
            <v>184693</v>
          </cell>
          <cell r="Y147">
            <v>183907</v>
          </cell>
          <cell r="Z147">
            <v>224936</v>
          </cell>
          <cell r="AA147">
            <v>224603</v>
          </cell>
          <cell r="AB147">
            <v>210582</v>
          </cell>
          <cell r="AC147">
            <v>212548</v>
          </cell>
          <cell r="AD147">
            <v>184376</v>
          </cell>
          <cell r="AE147">
            <v>170175</v>
          </cell>
          <cell r="AF147">
            <v>161706</v>
          </cell>
          <cell r="AG147">
            <v>154248</v>
          </cell>
          <cell r="AI147">
            <v>158356</v>
          </cell>
        </row>
        <row r="148">
          <cell r="I148">
            <v>122441</v>
          </cell>
          <cell r="J148">
            <v>129015</v>
          </cell>
          <cell r="K148">
            <v>140359</v>
          </cell>
          <cell r="L148">
            <v>161519</v>
          </cell>
          <cell r="M148">
            <v>166645</v>
          </cell>
          <cell r="N148">
            <v>174243</v>
          </cell>
          <cell r="O148">
            <v>191176</v>
          </cell>
          <cell r="P148">
            <v>171394</v>
          </cell>
          <cell r="Q148">
            <v>165699</v>
          </cell>
          <cell r="R148">
            <v>155885</v>
          </cell>
          <cell r="S148">
            <v>143958</v>
          </cell>
          <cell r="T148">
            <v>144483</v>
          </cell>
          <cell r="U148">
            <v>138294</v>
          </cell>
          <cell r="V148">
            <v>140850</v>
          </cell>
          <cell r="W148">
            <v>131093</v>
          </cell>
          <cell r="X148">
            <v>140220</v>
          </cell>
          <cell r="Y148">
            <v>140172</v>
          </cell>
          <cell r="Z148">
            <v>165452</v>
          </cell>
          <cell r="AA148">
            <v>168225</v>
          </cell>
          <cell r="AB148">
            <v>156096</v>
          </cell>
          <cell r="AC148">
            <v>151352</v>
          </cell>
          <cell r="AD148">
            <v>147991</v>
          </cell>
          <cell r="AE148">
            <v>136349</v>
          </cell>
          <cell r="AF148">
            <v>128961</v>
          </cell>
          <cell r="AG148">
            <v>122389</v>
          </cell>
          <cell r="AI148">
            <v>129015</v>
          </cell>
        </row>
        <row r="149">
          <cell r="I149">
            <v>1010040</v>
          </cell>
          <cell r="J149">
            <v>1109196</v>
          </cell>
          <cell r="K149">
            <v>1181260</v>
          </cell>
          <cell r="L149">
            <v>1359674</v>
          </cell>
          <cell r="M149">
            <v>1362543</v>
          </cell>
          <cell r="N149">
            <v>1635038</v>
          </cell>
          <cell r="O149">
            <v>1634781</v>
          </cell>
          <cell r="P149">
            <v>1516939</v>
          </cell>
          <cell r="Q149">
            <v>1440604</v>
          </cell>
          <cell r="R149">
            <v>1266280</v>
          </cell>
          <cell r="S149">
            <v>1174498</v>
          </cell>
          <cell r="T149">
            <v>1074752</v>
          </cell>
          <cell r="U149">
            <v>1021241</v>
          </cell>
          <cell r="V149">
            <v>1088996</v>
          </cell>
          <cell r="W149">
            <v>1176355</v>
          </cell>
          <cell r="X149">
            <v>1361559</v>
          </cell>
          <cell r="Y149">
            <v>1316329</v>
          </cell>
          <cell r="Z149">
            <v>1580861</v>
          </cell>
          <cell r="AA149">
            <v>1588903</v>
          </cell>
          <cell r="AB149">
            <v>1477659</v>
          </cell>
          <cell r="AC149">
            <v>1404445</v>
          </cell>
          <cell r="AD149">
            <v>1239827</v>
          </cell>
          <cell r="AE149">
            <v>1145728</v>
          </cell>
          <cell r="AF149">
            <v>1050435</v>
          </cell>
          <cell r="AG149">
            <v>990022</v>
          </cell>
          <cell r="AI149">
            <v>1109196</v>
          </cell>
        </row>
        <row r="150">
          <cell r="I150">
            <v>188654</v>
          </cell>
          <cell r="J150">
            <v>189418</v>
          </cell>
          <cell r="K150">
            <v>217701</v>
          </cell>
          <cell r="L150">
            <v>215870</v>
          </cell>
          <cell r="M150">
            <v>233226</v>
          </cell>
          <cell r="N150">
            <v>274210</v>
          </cell>
          <cell r="O150">
            <v>281875</v>
          </cell>
          <cell r="P150">
            <v>255245</v>
          </cell>
          <cell r="Q150">
            <v>243062</v>
          </cell>
          <cell r="R150">
            <v>227584</v>
          </cell>
          <cell r="S150">
            <v>227100</v>
          </cell>
          <cell r="T150">
            <v>198298</v>
          </cell>
          <cell r="U150">
            <v>205823</v>
          </cell>
          <cell r="V150">
            <v>180897</v>
          </cell>
          <cell r="W150">
            <v>204689</v>
          </cell>
          <cell r="X150">
            <v>225163</v>
          </cell>
          <cell r="Y150">
            <v>228177</v>
          </cell>
          <cell r="Z150">
            <v>262337</v>
          </cell>
          <cell r="AA150">
            <v>275071</v>
          </cell>
          <cell r="AB150">
            <v>248813</v>
          </cell>
          <cell r="AC150">
            <v>239092</v>
          </cell>
          <cell r="AD150">
            <v>231056</v>
          </cell>
          <cell r="AE150">
            <v>219728</v>
          </cell>
          <cell r="AF150">
            <v>208444</v>
          </cell>
          <cell r="AG150">
            <v>191922</v>
          </cell>
          <cell r="AI150">
            <v>189418</v>
          </cell>
        </row>
        <row r="151">
          <cell r="I151">
            <v>116522</v>
          </cell>
          <cell r="J151">
            <v>120168</v>
          </cell>
          <cell r="K151">
            <v>127204</v>
          </cell>
          <cell r="L151">
            <v>151158</v>
          </cell>
          <cell r="M151">
            <v>152174</v>
          </cell>
          <cell r="N151">
            <v>178936</v>
          </cell>
          <cell r="O151">
            <v>186571</v>
          </cell>
          <cell r="P151">
            <v>170698</v>
          </cell>
          <cell r="Q151">
            <v>161489</v>
          </cell>
          <cell r="R151">
            <v>148262</v>
          </cell>
          <cell r="S151">
            <v>137143</v>
          </cell>
          <cell r="T151">
            <v>134055</v>
          </cell>
          <cell r="U151">
            <v>123460</v>
          </cell>
          <cell r="V151">
            <v>132295</v>
          </cell>
          <cell r="W151">
            <v>135465</v>
          </cell>
          <cell r="X151">
            <v>151661</v>
          </cell>
          <cell r="Y151">
            <v>153412</v>
          </cell>
          <cell r="Z151">
            <v>175946</v>
          </cell>
          <cell r="AA151">
            <v>180625</v>
          </cell>
          <cell r="AB151">
            <v>162800</v>
          </cell>
          <cell r="AC151">
            <v>160302</v>
          </cell>
          <cell r="AD151">
            <v>124386</v>
          </cell>
          <cell r="AE151">
            <v>117590</v>
          </cell>
          <cell r="AF151">
            <v>114311</v>
          </cell>
          <cell r="AG151">
            <v>105225</v>
          </cell>
          <cell r="AI151">
            <v>120168</v>
          </cell>
        </row>
        <row r="152">
          <cell r="I152">
            <v>332647</v>
          </cell>
          <cell r="J152">
            <v>303947</v>
          </cell>
          <cell r="K152">
            <v>308239</v>
          </cell>
          <cell r="L152">
            <v>354813</v>
          </cell>
          <cell r="M152">
            <v>342566</v>
          </cell>
          <cell r="N152">
            <v>364766</v>
          </cell>
          <cell r="O152">
            <v>419854</v>
          </cell>
          <cell r="P152">
            <v>354839</v>
          </cell>
          <cell r="Q152">
            <v>355111</v>
          </cell>
          <cell r="R152">
            <v>361986</v>
          </cell>
          <cell r="S152">
            <v>333434</v>
          </cell>
          <cell r="T152">
            <v>348302</v>
          </cell>
          <cell r="U152">
            <v>305880</v>
          </cell>
          <cell r="V152">
            <v>350635</v>
          </cell>
          <cell r="W152">
            <v>333879</v>
          </cell>
          <cell r="X152">
            <v>378204</v>
          </cell>
          <cell r="Y152">
            <v>336881</v>
          </cell>
          <cell r="Z152">
            <v>412876</v>
          </cell>
          <cell r="AA152">
            <v>390414</v>
          </cell>
          <cell r="AB152">
            <v>385291</v>
          </cell>
          <cell r="AC152">
            <v>355411</v>
          </cell>
          <cell r="AD152">
            <v>381855</v>
          </cell>
          <cell r="AE152">
            <v>355342</v>
          </cell>
          <cell r="AF152">
            <v>349561</v>
          </cell>
          <cell r="AG152">
            <v>347886</v>
          </cell>
          <cell r="AI152">
            <v>303947</v>
          </cell>
        </row>
        <row r="154">
          <cell r="I154">
            <v>3780806</v>
          </cell>
          <cell r="J154">
            <v>3477899</v>
          </cell>
          <cell r="K154">
            <v>3500925</v>
          </cell>
          <cell r="L154">
            <v>3613253</v>
          </cell>
          <cell r="M154">
            <v>3375876</v>
          </cell>
          <cell r="N154">
            <v>3918112</v>
          </cell>
          <cell r="O154">
            <v>3700105</v>
          </cell>
          <cell r="P154">
            <v>3567181</v>
          </cell>
          <cell r="Q154">
            <v>4305288</v>
          </cell>
          <cell r="R154">
            <v>4521243</v>
          </cell>
          <cell r="S154">
            <v>4405699</v>
          </cell>
          <cell r="T154">
            <v>3794587</v>
          </cell>
          <cell r="U154">
            <v>4268623</v>
          </cell>
          <cell r="V154">
            <v>3375254</v>
          </cell>
          <cell r="W154">
            <v>2803023</v>
          </cell>
          <cell r="X154">
            <v>2558527</v>
          </cell>
          <cell r="Y154">
            <v>2717085</v>
          </cell>
          <cell r="Z154">
            <v>2744468</v>
          </cell>
          <cell r="AA154">
            <v>2422058</v>
          </cell>
          <cell r="AB154">
            <v>2119996</v>
          </cell>
          <cell r="AC154">
            <v>3157938</v>
          </cell>
          <cell r="AD154">
            <v>3532801</v>
          </cell>
          <cell r="AE154">
            <v>3041363</v>
          </cell>
          <cell r="AF154">
            <v>2500545</v>
          </cell>
          <cell r="AG154">
            <v>2861128</v>
          </cell>
          <cell r="AI154">
            <v>3477899</v>
          </cell>
        </row>
        <row r="155">
          <cell r="I155">
            <v>4599488</v>
          </cell>
          <cell r="J155">
            <v>4140032</v>
          </cell>
          <cell r="K155">
            <v>4503393</v>
          </cell>
          <cell r="L155">
            <v>4593853</v>
          </cell>
          <cell r="M155">
            <v>4786081</v>
          </cell>
          <cell r="N155">
            <v>5133669</v>
          </cell>
          <cell r="O155">
            <v>4437666</v>
          </cell>
          <cell r="P155">
            <v>4202018</v>
          </cell>
          <cell r="Q155">
            <v>4889609</v>
          </cell>
          <cell r="R155">
            <v>4815673</v>
          </cell>
          <cell r="S155">
            <v>4799127</v>
          </cell>
          <cell r="T155">
            <v>4381121</v>
          </cell>
          <cell r="U155">
            <v>4576532</v>
          </cell>
          <cell r="V155">
            <v>4172676</v>
          </cell>
          <cell r="W155">
            <v>3972596</v>
          </cell>
          <cell r="X155">
            <v>4484718</v>
          </cell>
          <cell r="Y155">
            <v>4862351</v>
          </cell>
          <cell r="Z155">
            <v>4950238</v>
          </cell>
          <cell r="AA155">
            <v>4369450</v>
          </cell>
          <cell r="AB155">
            <v>3936932</v>
          </cell>
          <cell r="AC155">
            <v>4575482</v>
          </cell>
          <cell r="AD155">
            <v>5379019</v>
          </cell>
          <cell r="AE155">
            <v>4775677</v>
          </cell>
          <cell r="AF155">
            <v>4304386</v>
          </cell>
          <cell r="AG155">
            <v>4466536</v>
          </cell>
          <cell r="AI155">
            <v>4140032</v>
          </cell>
        </row>
        <row r="156">
          <cell r="I156">
            <v>6375774</v>
          </cell>
          <cell r="J156">
            <v>5566114</v>
          </cell>
          <cell r="K156">
            <v>6221172</v>
          </cell>
          <cell r="L156">
            <v>5594161</v>
          </cell>
          <cell r="M156">
            <v>5993459</v>
          </cell>
          <cell r="N156">
            <v>6343503</v>
          </cell>
          <cell r="O156">
            <v>5780284</v>
          </cell>
          <cell r="P156">
            <v>5287111</v>
          </cell>
          <cell r="Q156">
            <v>6731077</v>
          </cell>
          <cell r="R156">
            <v>6141458</v>
          </cell>
          <cell r="S156">
            <v>6744235</v>
          </cell>
          <cell r="T156">
            <v>6161718</v>
          </cell>
          <cell r="U156">
            <v>6142484</v>
          </cell>
          <cell r="V156">
            <v>4948916</v>
          </cell>
          <cell r="W156">
            <v>5753325</v>
          </cell>
          <cell r="X156">
            <v>5568332</v>
          </cell>
          <cell r="Y156">
            <v>6019924</v>
          </cell>
          <cell r="Z156">
            <v>6300257</v>
          </cell>
          <cell r="AA156">
            <v>5645309</v>
          </cell>
          <cell r="AB156">
            <v>5270888</v>
          </cell>
          <cell r="AC156">
            <v>5694207</v>
          </cell>
          <cell r="AD156">
            <v>6991542</v>
          </cell>
          <cell r="AE156">
            <v>6683370</v>
          </cell>
          <cell r="AF156">
            <v>5941236</v>
          </cell>
          <cell r="AG156">
            <v>5535598</v>
          </cell>
          <cell r="AI156">
            <v>5566114</v>
          </cell>
        </row>
        <row r="157">
          <cell r="I157">
            <v>2754617</v>
          </cell>
          <cell r="J157">
            <v>2405411</v>
          </cell>
          <cell r="K157">
            <v>2728817</v>
          </cell>
          <cell r="L157">
            <v>2914803</v>
          </cell>
          <cell r="M157">
            <v>3048180</v>
          </cell>
          <cell r="N157">
            <v>3294328</v>
          </cell>
          <cell r="O157">
            <v>2716607</v>
          </cell>
          <cell r="P157">
            <v>2499653</v>
          </cell>
          <cell r="Q157">
            <v>3033797</v>
          </cell>
          <cell r="R157">
            <v>3188732</v>
          </cell>
          <cell r="S157">
            <v>3123032</v>
          </cell>
          <cell r="T157">
            <v>2954939</v>
          </cell>
          <cell r="U157">
            <v>3004960</v>
          </cell>
          <cell r="V157">
            <v>2402747</v>
          </cell>
          <cell r="W157">
            <v>2200435</v>
          </cell>
          <cell r="X157">
            <v>2479181</v>
          </cell>
          <cell r="Y157">
            <v>2791571</v>
          </cell>
          <cell r="Z157">
            <v>2738724</v>
          </cell>
          <cell r="AA157">
            <v>2390641</v>
          </cell>
          <cell r="AB157">
            <v>2016617</v>
          </cell>
          <cell r="AC157">
            <v>2665626</v>
          </cell>
          <cell r="AD157">
            <v>3512448</v>
          </cell>
          <cell r="AE157">
            <v>2777453</v>
          </cell>
          <cell r="AF157">
            <v>2771245</v>
          </cell>
          <cell r="AG157">
            <v>2525742</v>
          </cell>
          <cell r="AI157">
            <v>2405411</v>
          </cell>
        </row>
        <row r="158">
          <cell r="I158">
            <v>2303832</v>
          </cell>
          <cell r="J158">
            <v>2125476</v>
          </cell>
          <cell r="K158">
            <v>2546566</v>
          </cell>
          <cell r="L158">
            <v>2708087</v>
          </cell>
          <cell r="M158">
            <v>2799466</v>
          </cell>
          <cell r="N158">
            <v>2901572</v>
          </cell>
          <cell r="O158">
            <v>2494191</v>
          </cell>
          <cell r="P158">
            <v>1985034</v>
          </cell>
          <cell r="Q158">
            <v>2586258</v>
          </cell>
          <cell r="R158">
            <v>2626704</v>
          </cell>
          <cell r="S158">
            <v>2397839</v>
          </cell>
          <cell r="T158">
            <v>2437263</v>
          </cell>
          <cell r="U158">
            <v>2265992</v>
          </cell>
          <cell r="V158">
            <v>2006286</v>
          </cell>
          <cell r="W158">
            <v>2116638</v>
          </cell>
          <cell r="X158">
            <v>2155006</v>
          </cell>
          <cell r="Y158">
            <v>2429255</v>
          </cell>
          <cell r="Z158">
            <v>2701937</v>
          </cell>
          <cell r="AA158">
            <v>2261763</v>
          </cell>
          <cell r="AB158">
            <v>1990602</v>
          </cell>
          <cell r="AC158">
            <v>2256540</v>
          </cell>
          <cell r="AD158">
            <v>2839061</v>
          </cell>
          <cell r="AE158">
            <v>2412868</v>
          </cell>
          <cell r="AF158">
            <v>2450133</v>
          </cell>
          <cell r="AG158">
            <v>2147657</v>
          </cell>
          <cell r="AI158">
            <v>2125476</v>
          </cell>
        </row>
        <row r="159">
          <cell r="I159">
            <v>3805703</v>
          </cell>
          <cell r="J159">
            <v>3298199</v>
          </cell>
          <cell r="K159">
            <v>3646649</v>
          </cell>
          <cell r="L159">
            <v>3830387</v>
          </cell>
          <cell r="M159">
            <v>3925230</v>
          </cell>
          <cell r="N159">
            <v>4084927</v>
          </cell>
          <cell r="O159">
            <v>3809004</v>
          </cell>
          <cell r="P159">
            <v>3229698</v>
          </cell>
          <cell r="Q159">
            <v>3630554</v>
          </cell>
          <cell r="R159">
            <v>3181912</v>
          </cell>
          <cell r="S159">
            <v>3055075</v>
          </cell>
          <cell r="T159">
            <v>3504830</v>
          </cell>
          <cell r="U159">
            <v>3453457</v>
          </cell>
          <cell r="V159">
            <v>3089366</v>
          </cell>
          <cell r="W159">
            <v>2824178</v>
          </cell>
          <cell r="X159">
            <v>3425504</v>
          </cell>
          <cell r="Y159">
            <v>3838068</v>
          </cell>
          <cell r="Z159">
            <v>3882377</v>
          </cell>
          <cell r="AA159">
            <v>3442865</v>
          </cell>
          <cell r="AB159">
            <v>3179277</v>
          </cell>
          <cell r="AC159">
            <v>3359420</v>
          </cell>
          <cell r="AD159">
            <v>4686144</v>
          </cell>
          <cell r="AE159">
            <v>4114771</v>
          </cell>
          <cell r="AF159">
            <v>3757593</v>
          </cell>
          <cell r="AG159">
            <v>3634411</v>
          </cell>
          <cell r="AI159">
            <v>3298199</v>
          </cell>
        </row>
        <row r="160">
          <cell r="I160">
            <v>3173898</v>
          </cell>
          <cell r="J160">
            <v>3057409</v>
          </cell>
          <cell r="K160">
            <v>3154803</v>
          </cell>
          <cell r="L160">
            <v>3317080</v>
          </cell>
          <cell r="M160">
            <v>3395577</v>
          </cell>
          <cell r="N160">
            <v>3488540</v>
          </cell>
          <cell r="O160">
            <v>2817052</v>
          </cell>
          <cell r="P160">
            <v>2552589</v>
          </cell>
          <cell r="Q160">
            <v>2735781</v>
          </cell>
          <cell r="R160">
            <v>3815560</v>
          </cell>
          <cell r="S160">
            <v>3728761</v>
          </cell>
          <cell r="T160">
            <v>3901151</v>
          </cell>
          <cell r="U160">
            <v>3621403</v>
          </cell>
          <cell r="V160">
            <v>3335202</v>
          </cell>
          <cell r="W160">
            <v>3795759</v>
          </cell>
          <cell r="X160">
            <v>3842504</v>
          </cell>
          <cell r="Y160">
            <v>4386101</v>
          </cell>
          <cell r="Z160">
            <v>4515781</v>
          </cell>
          <cell r="AA160">
            <v>3974700</v>
          </cell>
          <cell r="AB160">
            <v>3256233</v>
          </cell>
          <cell r="AC160">
            <v>3457124</v>
          </cell>
          <cell r="AD160">
            <v>4346956</v>
          </cell>
          <cell r="AE160">
            <v>4247819</v>
          </cell>
          <cell r="AF160">
            <v>3949483</v>
          </cell>
          <cell r="AG160">
            <v>3475579</v>
          </cell>
          <cell r="AI160">
            <v>3057409</v>
          </cell>
        </row>
        <row r="161">
          <cell r="I161">
            <v>3436672</v>
          </cell>
          <cell r="J161">
            <v>3035707</v>
          </cell>
          <cell r="K161">
            <v>3311853</v>
          </cell>
          <cell r="L161">
            <v>3400532</v>
          </cell>
          <cell r="M161">
            <v>3419514</v>
          </cell>
          <cell r="N161">
            <v>3711138</v>
          </cell>
          <cell r="O161">
            <v>3181041</v>
          </cell>
          <cell r="P161">
            <v>3050009</v>
          </cell>
          <cell r="Q161">
            <v>3330454</v>
          </cell>
          <cell r="R161">
            <v>3978241</v>
          </cell>
          <cell r="S161">
            <v>3693278</v>
          </cell>
          <cell r="T161">
            <v>3828953</v>
          </cell>
          <cell r="U161">
            <v>3622887</v>
          </cell>
          <cell r="V161">
            <v>3100225</v>
          </cell>
          <cell r="W161">
            <v>3449670</v>
          </cell>
          <cell r="X161">
            <v>3530753</v>
          </cell>
          <cell r="Y161">
            <v>3933023</v>
          </cell>
          <cell r="Z161">
            <v>4202074</v>
          </cell>
          <cell r="AA161">
            <v>3700042</v>
          </cell>
          <cell r="AB161">
            <v>3109949</v>
          </cell>
          <cell r="AC161">
            <v>3349039</v>
          </cell>
          <cell r="AD161">
            <v>4318258</v>
          </cell>
          <cell r="AE161">
            <v>3758329</v>
          </cell>
          <cell r="AF161">
            <v>3837589</v>
          </cell>
          <cell r="AG161">
            <v>3243912</v>
          </cell>
          <cell r="AI161">
            <v>3035707</v>
          </cell>
        </row>
        <row r="162">
          <cell r="I162">
            <v>5577348</v>
          </cell>
          <cell r="J162">
            <v>5147512</v>
          </cell>
          <cell r="K162">
            <v>5269701</v>
          </cell>
          <cell r="L162">
            <v>5568209</v>
          </cell>
          <cell r="M162">
            <v>5612971</v>
          </cell>
          <cell r="N162">
            <v>6257274</v>
          </cell>
          <cell r="O162">
            <v>5270115</v>
          </cell>
          <cell r="P162">
            <v>5018877</v>
          </cell>
          <cell r="Q162">
            <v>5449481</v>
          </cell>
          <cell r="R162">
            <v>6238507</v>
          </cell>
          <cell r="S162">
            <v>5773875</v>
          </cell>
          <cell r="T162">
            <v>6312939</v>
          </cell>
          <cell r="U162">
            <v>6240474</v>
          </cell>
          <cell r="V162">
            <v>5092792</v>
          </cell>
          <cell r="W162">
            <v>5717618</v>
          </cell>
          <cell r="X162">
            <v>5371796</v>
          </cell>
          <cell r="Y162">
            <v>6045509</v>
          </cell>
          <cell r="Z162">
            <v>6560231</v>
          </cell>
          <cell r="AA162">
            <v>5725443</v>
          </cell>
          <cell r="AB162">
            <v>5052577</v>
          </cell>
          <cell r="AC162">
            <v>5596760</v>
          </cell>
          <cell r="AD162">
            <v>6754011</v>
          </cell>
          <cell r="AE162">
            <v>6377815</v>
          </cell>
          <cell r="AF162">
            <v>6099857</v>
          </cell>
          <cell r="AG162">
            <v>5659072</v>
          </cell>
          <cell r="AI162">
            <v>5147512</v>
          </cell>
        </row>
        <row r="163">
          <cell r="I163">
            <v>3821468</v>
          </cell>
          <cell r="J163">
            <v>3542372</v>
          </cell>
          <cell r="K163">
            <v>3387147</v>
          </cell>
          <cell r="L163">
            <v>3774940</v>
          </cell>
          <cell r="M163">
            <v>4651260</v>
          </cell>
          <cell r="N163">
            <v>4325400</v>
          </cell>
          <cell r="O163">
            <v>3707342</v>
          </cell>
          <cell r="P163">
            <v>3265219</v>
          </cell>
          <cell r="Q163">
            <v>3606983</v>
          </cell>
          <cell r="R163">
            <v>4385268</v>
          </cell>
          <cell r="S163">
            <v>3842605</v>
          </cell>
          <cell r="T163">
            <v>3957443</v>
          </cell>
          <cell r="U163">
            <v>4133222</v>
          </cell>
          <cell r="V163">
            <v>3667326</v>
          </cell>
          <cell r="W163">
            <v>3268302</v>
          </cell>
          <cell r="X163">
            <v>3405340</v>
          </cell>
          <cell r="Y163">
            <v>3758797</v>
          </cell>
          <cell r="Z163">
            <v>3942311</v>
          </cell>
          <cell r="AA163">
            <v>3469583</v>
          </cell>
          <cell r="AB163">
            <v>3127269</v>
          </cell>
          <cell r="AC163">
            <v>3436962</v>
          </cell>
          <cell r="AD163">
            <v>4599987</v>
          </cell>
          <cell r="AE163">
            <v>3963246</v>
          </cell>
          <cell r="AF163">
            <v>3830469</v>
          </cell>
          <cell r="AG163">
            <v>3471072</v>
          </cell>
          <cell r="AI163">
            <v>3542372</v>
          </cell>
        </row>
        <row r="164">
          <cell r="I164">
            <v>3266173</v>
          </cell>
          <cell r="J164">
            <v>3093334</v>
          </cell>
          <cell r="K164">
            <v>2955930</v>
          </cell>
          <cell r="L164">
            <v>3322223</v>
          </cell>
          <cell r="M164">
            <v>3481687</v>
          </cell>
          <cell r="N164">
            <v>3555922</v>
          </cell>
          <cell r="O164">
            <v>3268979</v>
          </cell>
          <cell r="P164">
            <v>2774440</v>
          </cell>
          <cell r="Q164">
            <v>2913579</v>
          </cell>
          <cell r="R164">
            <v>3483363</v>
          </cell>
          <cell r="S164">
            <v>3023275</v>
          </cell>
          <cell r="T164">
            <v>3196196</v>
          </cell>
          <cell r="U164">
            <v>3116832</v>
          </cell>
          <cell r="V164">
            <v>2957768</v>
          </cell>
          <cell r="W164">
            <v>2710575</v>
          </cell>
          <cell r="X164">
            <v>2827521</v>
          </cell>
          <cell r="Y164">
            <v>3199862</v>
          </cell>
          <cell r="Z164">
            <v>3219528</v>
          </cell>
          <cell r="AA164">
            <v>2897294</v>
          </cell>
          <cell r="AB164">
            <v>2731067</v>
          </cell>
          <cell r="AC164">
            <v>2521764</v>
          </cell>
          <cell r="AD164">
            <v>3406149</v>
          </cell>
          <cell r="AE164">
            <v>2659468</v>
          </cell>
          <cell r="AF164">
            <v>2763887</v>
          </cell>
          <cell r="AG164">
            <v>2631986</v>
          </cell>
          <cell r="AI164">
            <v>3093334</v>
          </cell>
        </row>
        <row r="165">
          <cell r="I165">
            <v>5063077</v>
          </cell>
          <cell r="J165">
            <v>4494785</v>
          </cell>
          <cell r="K165">
            <v>4401633</v>
          </cell>
          <cell r="L165">
            <v>4433908</v>
          </cell>
          <cell r="M165">
            <v>4697057</v>
          </cell>
          <cell r="N165">
            <v>4828527</v>
          </cell>
          <cell r="O165">
            <v>4561076</v>
          </cell>
          <cell r="P165">
            <v>4046733</v>
          </cell>
          <cell r="Q165">
            <v>4614576</v>
          </cell>
          <cell r="R165">
            <v>5601918</v>
          </cell>
          <cell r="S165">
            <v>5170684</v>
          </cell>
          <cell r="T165">
            <v>5633749</v>
          </cell>
          <cell r="U165">
            <v>5191428</v>
          </cell>
          <cell r="V165">
            <v>4672244</v>
          </cell>
          <cell r="W165">
            <v>4558449</v>
          </cell>
          <cell r="X165">
            <v>4182855</v>
          </cell>
          <cell r="Y165">
            <v>4610447</v>
          </cell>
          <cell r="Z165">
            <v>4963833</v>
          </cell>
          <cell r="AA165">
            <v>4448526</v>
          </cell>
          <cell r="AB165">
            <v>4313519</v>
          </cell>
          <cell r="AC165">
            <v>4378510</v>
          </cell>
          <cell r="AD165">
            <v>5783628</v>
          </cell>
          <cell r="AE165">
            <v>5588864</v>
          </cell>
          <cell r="AF165">
            <v>5461470</v>
          </cell>
          <cell r="AG165">
            <v>4771134</v>
          </cell>
          <cell r="AI165">
            <v>4494785</v>
          </cell>
        </row>
        <row r="166">
          <cell r="I166">
            <v>3522338</v>
          </cell>
          <cell r="J166">
            <v>3193635</v>
          </cell>
          <cell r="K166">
            <v>3096825</v>
          </cell>
          <cell r="L166">
            <v>3330443</v>
          </cell>
          <cell r="M166">
            <v>3447547</v>
          </cell>
          <cell r="N166">
            <v>3657931</v>
          </cell>
          <cell r="O166">
            <v>3250758</v>
          </cell>
          <cell r="P166">
            <v>3223328</v>
          </cell>
          <cell r="Q166">
            <v>3079054</v>
          </cell>
          <cell r="R166">
            <v>4395603</v>
          </cell>
          <cell r="S166">
            <v>3718688</v>
          </cell>
          <cell r="T166">
            <v>3985058</v>
          </cell>
          <cell r="U166">
            <v>3615117</v>
          </cell>
          <cell r="V166">
            <v>3317029</v>
          </cell>
          <cell r="W166">
            <v>3220370</v>
          </cell>
          <cell r="X166">
            <v>3210392</v>
          </cell>
          <cell r="Y166">
            <v>3586559</v>
          </cell>
          <cell r="Z166">
            <v>3834570</v>
          </cell>
          <cell r="AA166">
            <v>3625723</v>
          </cell>
          <cell r="AB166">
            <v>2958754</v>
          </cell>
          <cell r="AC166">
            <v>3099233</v>
          </cell>
          <cell r="AD166">
            <v>4480661</v>
          </cell>
          <cell r="AE166">
            <v>4046128</v>
          </cell>
          <cell r="AF166">
            <v>4114620</v>
          </cell>
          <cell r="AG166">
            <v>3299080</v>
          </cell>
          <cell r="AI166">
            <v>3193635</v>
          </cell>
        </row>
        <row r="167">
          <cell r="I167">
            <v>3290715</v>
          </cell>
          <cell r="J167">
            <v>3160023</v>
          </cell>
          <cell r="K167">
            <v>3166351</v>
          </cell>
          <cell r="L167">
            <v>3249371</v>
          </cell>
          <cell r="M167">
            <v>3461596</v>
          </cell>
          <cell r="N167">
            <v>3566533</v>
          </cell>
          <cell r="O167">
            <v>3436045</v>
          </cell>
          <cell r="P167">
            <v>3125847</v>
          </cell>
          <cell r="Q167">
            <v>3077601</v>
          </cell>
          <cell r="R167">
            <v>4125505</v>
          </cell>
          <cell r="S167">
            <v>3578087</v>
          </cell>
          <cell r="T167">
            <v>3400961</v>
          </cell>
          <cell r="U167">
            <v>3642181</v>
          </cell>
          <cell r="V167">
            <v>3276212</v>
          </cell>
          <cell r="W167">
            <v>3076578</v>
          </cell>
          <cell r="X167">
            <v>3051202</v>
          </cell>
          <cell r="Y167">
            <v>3401328</v>
          </cell>
          <cell r="Z167">
            <v>3707337</v>
          </cell>
          <cell r="AA167">
            <v>3237295</v>
          </cell>
          <cell r="AB167">
            <v>2910367</v>
          </cell>
          <cell r="AC167">
            <v>2797044</v>
          </cell>
          <cell r="AD167">
            <v>4062071</v>
          </cell>
          <cell r="AE167">
            <v>3506985</v>
          </cell>
          <cell r="AF167">
            <v>3188249</v>
          </cell>
          <cell r="AG167">
            <v>2805058</v>
          </cell>
          <cell r="AI167">
            <v>3160023</v>
          </cell>
        </row>
        <row r="168">
          <cell r="I168">
            <v>5271676</v>
          </cell>
          <cell r="J168">
            <v>4753449</v>
          </cell>
          <cell r="K168">
            <v>4702150</v>
          </cell>
          <cell r="L168">
            <v>4653395</v>
          </cell>
          <cell r="M168">
            <v>4961668</v>
          </cell>
          <cell r="N168">
            <v>5247200</v>
          </cell>
          <cell r="O168">
            <v>4688743</v>
          </cell>
          <cell r="P168">
            <v>4532799</v>
          </cell>
          <cell r="Q168">
            <v>4097078</v>
          </cell>
          <cell r="R168">
            <v>5253088</v>
          </cell>
          <cell r="S168">
            <v>4621543</v>
          </cell>
          <cell r="T168">
            <v>5097550</v>
          </cell>
          <cell r="U168">
            <v>5046922</v>
          </cell>
          <cell r="V168">
            <v>4683621</v>
          </cell>
          <cell r="W168">
            <v>4080780</v>
          </cell>
          <cell r="X168">
            <v>3846126</v>
          </cell>
          <cell r="Y168">
            <v>4099920</v>
          </cell>
          <cell r="Z168">
            <v>4486276</v>
          </cell>
          <cell r="AA168">
            <v>3973272</v>
          </cell>
          <cell r="AB168">
            <v>3525962</v>
          </cell>
          <cell r="AC168">
            <v>3668381</v>
          </cell>
          <cell r="AD168">
            <v>4743111</v>
          </cell>
          <cell r="AE168">
            <v>4237984</v>
          </cell>
          <cell r="AF168">
            <v>4128391</v>
          </cell>
          <cell r="AG168">
            <v>3642299</v>
          </cell>
          <cell r="AI168">
            <v>4753449</v>
          </cell>
        </row>
        <row r="169">
          <cell r="I169">
            <v>4754448</v>
          </cell>
          <cell r="J169">
            <v>4133156</v>
          </cell>
          <cell r="K169">
            <v>3955288</v>
          </cell>
          <cell r="L169">
            <v>4519150</v>
          </cell>
          <cell r="M169">
            <v>4706922</v>
          </cell>
          <cell r="N169">
            <v>5502880</v>
          </cell>
          <cell r="O169">
            <v>4584406</v>
          </cell>
          <cell r="P169">
            <v>3878477</v>
          </cell>
          <cell r="Q169">
            <v>4067383</v>
          </cell>
          <cell r="R169">
            <v>5125802</v>
          </cell>
          <cell r="S169">
            <v>4543236</v>
          </cell>
          <cell r="T169">
            <v>5022151</v>
          </cell>
          <cell r="U169">
            <v>4699041</v>
          </cell>
          <cell r="V169">
            <v>4672990</v>
          </cell>
          <cell r="W169">
            <v>4382532</v>
          </cell>
          <cell r="X169">
            <v>4217531</v>
          </cell>
          <cell r="Y169">
            <v>5187305</v>
          </cell>
          <cell r="Z169">
            <v>5677864</v>
          </cell>
          <cell r="AA169">
            <v>5217212</v>
          </cell>
          <cell r="AB169">
            <v>4072774</v>
          </cell>
          <cell r="AC169">
            <v>4100542</v>
          </cell>
          <cell r="AD169">
            <v>5182214</v>
          </cell>
          <cell r="AE169">
            <v>5168809</v>
          </cell>
          <cell r="AF169">
            <v>4878621</v>
          </cell>
          <cell r="AG169">
            <v>8003427</v>
          </cell>
          <cell r="AI169">
            <v>4133156</v>
          </cell>
        </row>
        <row r="170">
          <cell r="I170">
            <v>41361980</v>
          </cell>
          <cell r="J170">
            <v>30292659</v>
          </cell>
          <cell r="K170">
            <v>35196499</v>
          </cell>
          <cell r="L170">
            <v>29664705</v>
          </cell>
          <cell r="M170">
            <v>29192265</v>
          </cell>
          <cell r="N170">
            <v>32959276</v>
          </cell>
          <cell r="O170">
            <v>33143555</v>
          </cell>
          <cell r="P170">
            <v>32076377</v>
          </cell>
          <cell r="Q170">
            <v>36364397</v>
          </cell>
          <cell r="R170">
            <v>45714784</v>
          </cell>
          <cell r="S170">
            <v>37069394</v>
          </cell>
          <cell r="T170">
            <v>41657987</v>
          </cell>
          <cell r="U170">
            <v>39039149</v>
          </cell>
          <cell r="V170">
            <v>37546294</v>
          </cell>
          <cell r="W170">
            <v>33425631</v>
          </cell>
          <cell r="X170">
            <v>28095616</v>
          </cell>
          <cell r="Y170">
            <v>31183619</v>
          </cell>
          <cell r="Z170">
            <v>28692527</v>
          </cell>
          <cell r="AA170">
            <v>31100367</v>
          </cell>
          <cell r="AB170">
            <v>31303352</v>
          </cell>
          <cell r="AC170">
            <v>30408575</v>
          </cell>
          <cell r="AD170">
            <v>41202647</v>
          </cell>
          <cell r="AE170">
            <v>42739934</v>
          </cell>
          <cell r="AF170">
            <v>40093150</v>
          </cell>
          <cell r="AG170">
            <v>32463017</v>
          </cell>
          <cell r="AI170">
            <v>30292659</v>
          </cell>
        </row>
        <row r="171">
          <cell r="I171">
            <v>6941560</v>
          </cell>
          <cell r="J171">
            <v>5202480</v>
          </cell>
          <cell r="K171">
            <v>6261436</v>
          </cell>
          <cell r="L171">
            <v>5401399</v>
          </cell>
          <cell r="M171">
            <v>5353712</v>
          </cell>
          <cell r="N171">
            <v>5780401</v>
          </cell>
          <cell r="O171">
            <v>6034681</v>
          </cell>
          <cell r="P171">
            <v>5139312</v>
          </cell>
          <cell r="Q171">
            <v>7652250</v>
          </cell>
          <cell r="R171">
            <v>8369493</v>
          </cell>
          <cell r="S171">
            <v>7851041</v>
          </cell>
          <cell r="T171">
            <v>8368776</v>
          </cell>
          <cell r="U171">
            <v>7593514</v>
          </cell>
          <cell r="V171">
            <v>6087617</v>
          </cell>
          <cell r="W171">
            <v>6861480</v>
          </cell>
          <cell r="X171">
            <v>5743787</v>
          </cell>
          <cell r="Y171">
            <v>8802078</v>
          </cell>
          <cell r="Z171">
            <v>4144446</v>
          </cell>
          <cell r="AA171">
            <v>9299320</v>
          </cell>
          <cell r="AB171">
            <v>3798433</v>
          </cell>
          <cell r="AC171">
            <v>6601875</v>
          </cell>
          <cell r="AD171">
            <v>8007893</v>
          </cell>
          <cell r="AE171">
            <v>8352978</v>
          </cell>
          <cell r="AF171">
            <v>7015951</v>
          </cell>
          <cell r="AG171">
            <v>2726821</v>
          </cell>
          <cell r="AI171">
            <v>5202480</v>
          </cell>
        </row>
        <row r="172">
          <cell r="I172">
            <v>3428216</v>
          </cell>
          <cell r="J172">
            <v>3833243</v>
          </cell>
          <cell r="K172">
            <v>3703962</v>
          </cell>
          <cell r="L172">
            <v>4567616</v>
          </cell>
          <cell r="M172">
            <v>4141355</v>
          </cell>
          <cell r="N172">
            <v>4085233</v>
          </cell>
          <cell r="O172">
            <v>4208469</v>
          </cell>
          <cell r="P172">
            <v>4025090</v>
          </cell>
          <cell r="Q172">
            <v>4140702</v>
          </cell>
          <cell r="R172">
            <v>5081699</v>
          </cell>
          <cell r="S172">
            <v>4726003</v>
          </cell>
          <cell r="T172">
            <v>4722485</v>
          </cell>
          <cell r="U172">
            <v>4853853</v>
          </cell>
          <cell r="V172">
            <v>4523706</v>
          </cell>
          <cell r="W172">
            <v>4050039</v>
          </cell>
          <cell r="X172">
            <v>4109754</v>
          </cell>
          <cell r="Y172">
            <v>4236746</v>
          </cell>
          <cell r="Z172">
            <v>4600611</v>
          </cell>
          <cell r="AA172">
            <v>4794565</v>
          </cell>
          <cell r="AB172">
            <v>3651770</v>
          </cell>
          <cell r="AC172">
            <v>3859897</v>
          </cell>
          <cell r="AD172">
            <v>5024160</v>
          </cell>
          <cell r="AE172">
            <v>4434931</v>
          </cell>
          <cell r="AF172">
            <v>4534183</v>
          </cell>
          <cell r="AG172">
            <v>4215402</v>
          </cell>
          <cell r="AI172">
            <v>3833243</v>
          </cell>
        </row>
        <row r="173">
          <cell r="I173">
            <v>6385731</v>
          </cell>
          <cell r="J173">
            <v>5002697</v>
          </cell>
          <cell r="K173">
            <v>4634781</v>
          </cell>
          <cell r="L173">
            <v>5852843</v>
          </cell>
          <cell r="M173">
            <v>6002366</v>
          </cell>
          <cell r="N173">
            <v>5745454</v>
          </cell>
          <cell r="O173">
            <v>6423650</v>
          </cell>
          <cell r="P173">
            <v>4487063</v>
          </cell>
          <cell r="Q173">
            <v>4829527</v>
          </cell>
          <cell r="R173">
            <v>5308095</v>
          </cell>
          <cell r="S173">
            <v>5470540</v>
          </cell>
          <cell r="T173">
            <v>5784064</v>
          </cell>
          <cell r="U173">
            <v>5343752</v>
          </cell>
          <cell r="V173">
            <v>5116153</v>
          </cell>
          <cell r="W173">
            <v>4546773</v>
          </cell>
          <cell r="X173">
            <v>5011009</v>
          </cell>
          <cell r="Y173">
            <v>5422408</v>
          </cell>
          <cell r="Z173">
            <v>5899229</v>
          </cell>
          <cell r="AA173">
            <v>5717910</v>
          </cell>
          <cell r="AB173">
            <v>4489213</v>
          </cell>
          <cell r="AC173">
            <v>4206505</v>
          </cell>
          <cell r="AD173">
            <v>5668018</v>
          </cell>
          <cell r="AE173">
            <v>5650767</v>
          </cell>
          <cell r="AF173">
            <v>5676664</v>
          </cell>
          <cell r="AG173">
            <v>5343399</v>
          </cell>
          <cell r="AI173">
            <v>5002697</v>
          </cell>
        </row>
        <row r="175">
          <cell r="I175">
            <v>196377</v>
          </cell>
          <cell r="J175">
            <v>202622</v>
          </cell>
          <cell r="K175">
            <v>210090</v>
          </cell>
          <cell r="L175">
            <v>221678</v>
          </cell>
          <cell r="M175">
            <v>232669</v>
          </cell>
          <cell r="N175">
            <v>215159</v>
          </cell>
          <cell r="O175">
            <v>205993</v>
          </cell>
          <cell r="P175">
            <v>190603</v>
          </cell>
          <cell r="Q175">
            <v>206278</v>
          </cell>
          <cell r="R175">
            <v>211422</v>
          </cell>
          <cell r="S175">
            <v>202187</v>
          </cell>
          <cell r="T175">
            <v>204215</v>
          </cell>
          <cell r="U175">
            <v>199173</v>
          </cell>
          <cell r="V175">
            <v>193607</v>
          </cell>
          <cell r="W175">
            <v>192666</v>
          </cell>
          <cell r="X175">
            <v>209642</v>
          </cell>
          <cell r="Y175">
            <v>212304</v>
          </cell>
          <cell r="Z175">
            <v>234594</v>
          </cell>
          <cell r="AA175">
            <v>186176</v>
          </cell>
          <cell r="AB175">
            <v>179723</v>
          </cell>
          <cell r="AC175">
            <v>199047</v>
          </cell>
          <cell r="AD175">
            <v>197044</v>
          </cell>
          <cell r="AE175">
            <v>199324</v>
          </cell>
          <cell r="AF175">
            <v>186836</v>
          </cell>
          <cell r="AG175">
            <v>204048</v>
          </cell>
          <cell r="AI175">
            <v>202622</v>
          </cell>
        </row>
        <row r="176">
          <cell r="I176">
            <v>557885</v>
          </cell>
          <cell r="J176">
            <v>572367</v>
          </cell>
          <cell r="K176">
            <v>640463</v>
          </cell>
          <cell r="L176">
            <v>666808</v>
          </cell>
          <cell r="M176">
            <v>697514</v>
          </cell>
          <cell r="N176">
            <v>806248</v>
          </cell>
          <cell r="O176">
            <v>627722</v>
          </cell>
          <cell r="P176">
            <v>529068</v>
          </cell>
          <cell r="Q176">
            <v>495835</v>
          </cell>
          <cell r="R176">
            <v>501645</v>
          </cell>
          <cell r="S176">
            <v>563356</v>
          </cell>
          <cell r="T176">
            <v>516824</v>
          </cell>
          <cell r="U176">
            <v>551042</v>
          </cell>
          <cell r="V176">
            <v>609039</v>
          </cell>
          <cell r="W176">
            <v>568408</v>
          </cell>
          <cell r="X176">
            <v>626321</v>
          </cell>
          <cell r="Y176">
            <v>716643</v>
          </cell>
          <cell r="Z176">
            <v>757841</v>
          </cell>
          <cell r="AA176">
            <v>606805</v>
          </cell>
          <cell r="AB176">
            <v>486820</v>
          </cell>
          <cell r="AC176">
            <v>528339</v>
          </cell>
          <cell r="AD176">
            <v>494683</v>
          </cell>
          <cell r="AE176">
            <v>497949</v>
          </cell>
          <cell r="AF176">
            <v>516452</v>
          </cell>
          <cell r="AG176">
            <v>591750</v>
          </cell>
          <cell r="AI176">
            <v>572367</v>
          </cell>
        </row>
        <row r="177">
          <cell r="I177">
            <v>309405</v>
          </cell>
          <cell r="J177">
            <v>318972</v>
          </cell>
          <cell r="K177">
            <v>360377</v>
          </cell>
          <cell r="L177">
            <v>345103</v>
          </cell>
          <cell r="M177">
            <v>355602</v>
          </cell>
          <cell r="N177">
            <v>397876</v>
          </cell>
          <cell r="O177">
            <v>315962</v>
          </cell>
          <cell r="P177">
            <v>307907</v>
          </cell>
          <cell r="Q177">
            <v>337862</v>
          </cell>
          <cell r="R177">
            <v>314015</v>
          </cell>
          <cell r="S177">
            <v>334448</v>
          </cell>
          <cell r="T177">
            <v>323247</v>
          </cell>
          <cell r="U177">
            <v>323287</v>
          </cell>
          <cell r="V177">
            <v>317092</v>
          </cell>
          <cell r="W177">
            <v>435841</v>
          </cell>
          <cell r="X177">
            <v>434986</v>
          </cell>
          <cell r="Y177">
            <v>462582</v>
          </cell>
          <cell r="Z177">
            <v>507143</v>
          </cell>
          <cell r="AA177">
            <v>464696</v>
          </cell>
          <cell r="AB177">
            <v>383249</v>
          </cell>
          <cell r="AC177">
            <v>353830</v>
          </cell>
          <cell r="AD177">
            <v>462387</v>
          </cell>
          <cell r="AE177">
            <v>423182</v>
          </cell>
          <cell r="AF177">
            <v>451089</v>
          </cell>
          <cell r="AG177">
            <v>412193</v>
          </cell>
          <cell r="AI177">
            <v>318972</v>
          </cell>
        </row>
        <row r="178">
          <cell r="I178">
            <v>340168</v>
          </cell>
          <cell r="J178">
            <v>314355</v>
          </cell>
          <cell r="K178">
            <v>375761</v>
          </cell>
          <cell r="L178">
            <v>348304</v>
          </cell>
          <cell r="M178">
            <v>374091</v>
          </cell>
          <cell r="N178">
            <v>424373</v>
          </cell>
          <cell r="O178">
            <v>354567</v>
          </cell>
          <cell r="P178">
            <v>348025</v>
          </cell>
          <cell r="Q178">
            <v>350483</v>
          </cell>
          <cell r="R178">
            <v>351650</v>
          </cell>
          <cell r="S178">
            <v>383168</v>
          </cell>
          <cell r="T178">
            <v>355147</v>
          </cell>
          <cell r="U178">
            <v>347694</v>
          </cell>
          <cell r="V178">
            <v>369513</v>
          </cell>
          <cell r="W178">
            <v>389224</v>
          </cell>
          <cell r="X178">
            <v>407548</v>
          </cell>
          <cell r="Y178">
            <v>422572</v>
          </cell>
          <cell r="Z178">
            <v>454864</v>
          </cell>
          <cell r="AA178">
            <v>361685</v>
          </cell>
          <cell r="AB178">
            <v>370889</v>
          </cell>
          <cell r="AC178">
            <v>401358</v>
          </cell>
          <cell r="AD178">
            <v>375186</v>
          </cell>
          <cell r="AE178">
            <v>363379</v>
          </cell>
          <cell r="AF178">
            <v>399645</v>
          </cell>
          <cell r="AG178">
            <v>345613</v>
          </cell>
          <cell r="AI178">
            <v>314355</v>
          </cell>
        </row>
        <row r="179">
          <cell r="I179">
            <v>146720</v>
          </cell>
          <cell r="J179">
            <v>122599</v>
          </cell>
          <cell r="K179">
            <v>124435</v>
          </cell>
          <cell r="L179">
            <v>138412</v>
          </cell>
          <cell r="M179">
            <v>132564</v>
          </cell>
          <cell r="N179">
            <v>163159</v>
          </cell>
          <cell r="O179">
            <v>140374</v>
          </cell>
          <cell r="P179">
            <v>113270</v>
          </cell>
          <cell r="Q179">
            <v>140086</v>
          </cell>
          <cell r="R179">
            <v>127999</v>
          </cell>
          <cell r="S179">
            <v>130789</v>
          </cell>
          <cell r="T179">
            <v>133814</v>
          </cell>
          <cell r="U179">
            <v>139661</v>
          </cell>
          <cell r="V179">
            <v>134523</v>
          </cell>
          <cell r="W179">
            <v>141616</v>
          </cell>
          <cell r="X179">
            <v>134662</v>
          </cell>
          <cell r="Y179">
            <v>136909</v>
          </cell>
          <cell r="Z179">
            <v>165059</v>
          </cell>
          <cell r="AA179">
            <v>125435</v>
          </cell>
          <cell r="AB179">
            <v>119930</v>
          </cell>
          <cell r="AC179">
            <v>124206</v>
          </cell>
          <cell r="AD179">
            <v>141003</v>
          </cell>
          <cell r="AE179">
            <v>126399</v>
          </cell>
          <cell r="AF179">
            <v>131856</v>
          </cell>
          <cell r="AG179">
            <v>134816</v>
          </cell>
          <cell r="AI179">
            <v>122599</v>
          </cell>
        </row>
        <row r="180">
          <cell r="I180">
            <v>130294</v>
          </cell>
          <cell r="J180">
            <v>114725</v>
          </cell>
          <cell r="K180">
            <v>137817</v>
          </cell>
          <cell r="L180">
            <v>111087</v>
          </cell>
          <cell r="M180">
            <v>120615</v>
          </cell>
          <cell r="N180">
            <v>133824</v>
          </cell>
          <cell r="O180">
            <v>123603</v>
          </cell>
          <cell r="P180">
            <v>109683</v>
          </cell>
          <cell r="Q180">
            <v>113146</v>
          </cell>
          <cell r="R180">
            <v>116282</v>
          </cell>
          <cell r="S180">
            <v>119989</v>
          </cell>
          <cell r="T180">
            <v>118363</v>
          </cell>
          <cell r="U180">
            <v>109609</v>
          </cell>
          <cell r="V180">
            <v>111964</v>
          </cell>
          <cell r="W180">
            <v>99422</v>
          </cell>
          <cell r="X180">
            <v>114452</v>
          </cell>
          <cell r="Y180">
            <v>107802</v>
          </cell>
          <cell r="Z180">
            <v>124547</v>
          </cell>
          <cell r="AA180">
            <v>95224</v>
          </cell>
          <cell r="AB180">
            <v>96559</v>
          </cell>
          <cell r="AC180">
            <v>83987</v>
          </cell>
          <cell r="AD180">
            <v>88555</v>
          </cell>
          <cell r="AE180">
            <v>107282</v>
          </cell>
          <cell r="AF180">
            <v>89182</v>
          </cell>
          <cell r="AG180">
            <v>107997</v>
          </cell>
          <cell r="AI180">
            <v>114725</v>
          </cell>
        </row>
        <row r="181">
          <cell r="I181">
            <v>661605</v>
          </cell>
          <cell r="J181">
            <v>559829</v>
          </cell>
          <cell r="K181">
            <v>598647</v>
          </cell>
          <cell r="L181">
            <v>595369</v>
          </cell>
          <cell r="M181">
            <v>638022</v>
          </cell>
          <cell r="N181">
            <v>481254</v>
          </cell>
          <cell r="O181">
            <v>244414</v>
          </cell>
          <cell r="P181">
            <v>208983</v>
          </cell>
          <cell r="Q181">
            <v>217819</v>
          </cell>
          <cell r="R181">
            <v>261689</v>
          </cell>
          <cell r="S181">
            <v>236536</v>
          </cell>
          <cell r="T181">
            <v>243219</v>
          </cell>
          <cell r="U181">
            <v>244300</v>
          </cell>
          <cell r="V181">
            <v>226442</v>
          </cell>
          <cell r="W181">
            <v>243916</v>
          </cell>
          <cell r="X181">
            <v>245876</v>
          </cell>
          <cell r="Y181">
            <v>289714</v>
          </cell>
          <cell r="Z181">
            <v>298247</v>
          </cell>
          <cell r="AA181">
            <v>238779</v>
          </cell>
          <cell r="AB181">
            <v>221845</v>
          </cell>
          <cell r="AC181">
            <v>218239</v>
          </cell>
          <cell r="AD181">
            <v>255347</v>
          </cell>
          <cell r="AE181">
            <v>221816</v>
          </cell>
          <cell r="AF181">
            <v>244457</v>
          </cell>
          <cell r="AG181">
            <v>230003</v>
          </cell>
          <cell r="AI181">
            <v>559829</v>
          </cell>
        </row>
        <row r="182">
          <cell r="I182">
            <v>135397</v>
          </cell>
          <cell r="J182">
            <v>125684</v>
          </cell>
          <cell r="K182">
            <v>150483</v>
          </cell>
          <cell r="L182">
            <v>142787</v>
          </cell>
          <cell r="M182">
            <v>143240</v>
          </cell>
          <cell r="N182">
            <v>166182</v>
          </cell>
          <cell r="O182">
            <v>143312</v>
          </cell>
          <cell r="P182">
            <v>113795</v>
          </cell>
          <cell r="Q182">
            <v>170775</v>
          </cell>
          <cell r="R182">
            <v>148263</v>
          </cell>
          <cell r="S182">
            <v>137440</v>
          </cell>
          <cell r="T182">
            <v>149965</v>
          </cell>
          <cell r="U182">
            <v>136436</v>
          </cell>
          <cell r="V182">
            <v>150110</v>
          </cell>
          <cell r="W182">
            <v>155178</v>
          </cell>
          <cell r="X182">
            <v>153782</v>
          </cell>
          <cell r="Y182">
            <v>159372</v>
          </cell>
          <cell r="Z182">
            <v>189644</v>
          </cell>
          <cell r="AA182">
            <v>157472</v>
          </cell>
          <cell r="AB182">
            <v>146282</v>
          </cell>
          <cell r="AC182">
            <v>153173</v>
          </cell>
          <cell r="AD182">
            <v>42850</v>
          </cell>
          <cell r="AE182">
            <v>35084</v>
          </cell>
          <cell r="AF182">
            <v>41922</v>
          </cell>
          <cell r="AG182">
            <v>37594</v>
          </cell>
          <cell r="AI182">
            <v>125684</v>
          </cell>
        </row>
        <row r="183">
          <cell r="I183">
            <v>250121</v>
          </cell>
          <cell r="J183">
            <v>219247</v>
          </cell>
          <cell r="K183">
            <v>233107</v>
          </cell>
          <cell r="L183">
            <v>241469</v>
          </cell>
          <cell r="M183">
            <v>251838</v>
          </cell>
          <cell r="N183">
            <v>286856</v>
          </cell>
          <cell r="O183">
            <v>235662</v>
          </cell>
          <cell r="P183">
            <v>201354</v>
          </cell>
          <cell r="Q183">
            <v>224794</v>
          </cell>
          <cell r="R183">
            <v>234102</v>
          </cell>
          <cell r="S183">
            <v>223826</v>
          </cell>
          <cell r="T183">
            <v>271615</v>
          </cell>
          <cell r="U183">
            <v>238713</v>
          </cell>
          <cell r="V183">
            <v>227802</v>
          </cell>
          <cell r="W183">
            <v>295451</v>
          </cell>
          <cell r="X183">
            <v>284352</v>
          </cell>
          <cell r="Y183">
            <v>328096</v>
          </cell>
          <cell r="Z183">
            <v>353719</v>
          </cell>
          <cell r="AA183">
            <v>286234</v>
          </cell>
          <cell r="AB183">
            <v>466649</v>
          </cell>
          <cell r="AC183">
            <v>239475</v>
          </cell>
          <cell r="AD183">
            <v>645310</v>
          </cell>
          <cell r="AE183">
            <v>471844</v>
          </cell>
          <cell r="AF183">
            <v>720543</v>
          </cell>
          <cell r="AG183">
            <v>377437</v>
          </cell>
          <cell r="AI183">
            <v>219247</v>
          </cell>
        </row>
        <row r="184">
          <cell r="I184">
            <v>245625</v>
          </cell>
          <cell r="J184">
            <v>249462</v>
          </cell>
          <cell r="K184">
            <v>262176</v>
          </cell>
          <cell r="L184">
            <v>408713</v>
          </cell>
          <cell r="M184">
            <v>318053</v>
          </cell>
          <cell r="N184">
            <v>417283</v>
          </cell>
          <cell r="O184">
            <v>405198</v>
          </cell>
          <cell r="P184">
            <v>313707</v>
          </cell>
          <cell r="Q184">
            <v>593455</v>
          </cell>
          <cell r="R184">
            <v>334504</v>
          </cell>
          <cell r="S184">
            <v>611781</v>
          </cell>
          <cell r="T184">
            <v>536080</v>
          </cell>
          <cell r="U184">
            <v>390125</v>
          </cell>
          <cell r="V184">
            <v>340421</v>
          </cell>
          <cell r="W184">
            <v>198934</v>
          </cell>
          <cell r="X184">
            <v>203253</v>
          </cell>
          <cell r="Y184">
            <v>259960</v>
          </cell>
          <cell r="Z184">
            <v>249843</v>
          </cell>
          <cell r="AA184">
            <v>216971</v>
          </cell>
          <cell r="AB184">
            <v>149797</v>
          </cell>
          <cell r="AC184">
            <v>195415</v>
          </cell>
          <cell r="AD184">
            <v>191580</v>
          </cell>
          <cell r="AE184">
            <v>148138</v>
          </cell>
          <cell r="AF184">
            <v>161222</v>
          </cell>
          <cell r="AG184">
            <v>188381</v>
          </cell>
          <cell r="AI184">
            <v>249462</v>
          </cell>
        </row>
        <row r="185">
          <cell r="I185">
            <v>510842</v>
          </cell>
          <cell r="J185">
            <v>463113</v>
          </cell>
          <cell r="K185">
            <v>475246</v>
          </cell>
          <cell r="L185">
            <v>493071</v>
          </cell>
          <cell r="M185">
            <v>488713</v>
          </cell>
          <cell r="N185">
            <v>571766</v>
          </cell>
          <cell r="O185">
            <v>507418</v>
          </cell>
          <cell r="P185">
            <v>429739</v>
          </cell>
          <cell r="Q185">
            <v>459733</v>
          </cell>
          <cell r="R185">
            <v>492130</v>
          </cell>
          <cell r="S185">
            <v>476720</v>
          </cell>
          <cell r="T185">
            <v>522458</v>
          </cell>
          <cell r="U185">
            <v>492040</v>
          </cell>
          <cell r="V185">
            <v>469382</v>
          </cell>
          <cell r="W185">
            <v>524536</v>
          </cell>
          <cell r="X185">
            <v>469002</v>
          </cell>
          <cell r="Y185">
            <v>544693</v>
          </cell>
          <cell r="Z185">
            <v>571540</v>
          </cell>
          <cell r="AA185">
            <v>506535</v>
          </cell>
          <cell r="AB185">
            <v>440672</v>
          </cell>
          <cell r="AC185">
            <v>457528</v>
          </cell>
          <cell r="AD185">
            <v>511130</v>
          </cell>
          <cell r="AE185">
            <v>470819</v>
          </cell>
          <cell r="AF185">
            <v>522147</v>
          </cell>
          <cell r="AG185">
            <v>474099</v>
          </cell>
          <cell r="AI185">
            <v>463113</v>
          </cell>
        </row>
        <row r="186">
          <cell r="I186">
            <v>83193</v>
          </cell>
          <cell r="J186">
            <v>53923</v>
          </cell>
          <cell r="K186">
            <v>58028</v>
          </cell>
          <cell r="L186">
            <v>53762</v>
          </cell>
          <cell r="M186">
            <v>59052</v>
          </cell>
          <cell r="N186">
            <v>69130</v>
          </cell>
          <cell r="O186">
            <v>59084</v>
          </cell>
          <cell r="P186">
            <v>39418</v>
          </cell>
          <cell r="Q186">
            <v>40873</v>
          </cell>
          <cell r="R186">
            <v>42485</v>
          </cell>
          <cell r="S186">
            <v>43643</v>
          </cell>
          <cell r="T186">
            <v>51684</v>
          </cell>
          <cell r="U186">
            <v>48365</v>
          </cell>
          <cell r="V186">
            <v>50241</v>
          </cell>
          <cell r="W186">
            <v>50731</v>
          </cell>
          <cell r="X186">
            <v>49089</v>
          </cell>
          <cell r="Y186">
            <v>59923</v>
          </cell>
          <cell r="Z186">
            <v>56902</v>
          </cell>
          <cell r="AA186">
            <v>39829</v>
          </cell>
          <cell r="AB186">
            <v>34641</v>
          </cell>
          <cell r="AC186">
            <v>33087</v>
          </cell>
          <cell r="AD186">
            <v>38242</v>
          </cell>
          <cell r="AE186">
            <v>33786</v>
          </cell>
          <cell r="AF186">
            <v>39476</v>
          </cell>
          <cell r="AG186">
            <v>36756</v>
          </cell>
          <cell r="AI186">
            <v>53923</v>
          </cell>
        </row>
        <row r="187">
          <cell r="I187">
            <v>184191</v>
          </cell>
          <cell r="J187">
            <v>154690</v>
          </cell>
          <cell r="K187">
            <v>182307</v>
          </cell>
          <cell r="L187">
            <v>179458</v>
          </cell>
          <cell r="M187">
            <v>185640</v>
          </cell>
          <cell r="N187">
            <v>217412</v>
          </cell>
          <cell r="O187">
            <v>179457</v>
          </cell>
          <cell r="P187">
            <v>151673</v>
          </cell>
          <cell r="Q187">
            <v>162784</v>
          </cell>
          <cell r="R187">
            <v>166606</v>
          </cell>
          <cell r="S187">
            <v>154883</v>
          </cell>
          <cell r="T187">
            <v>177869</v>
          </cell>
          <cell r="U187">
            <v>175613</v>
          </cell>
          <cell r="V187">
            <v>175219</v>
          </cell>
          <cell r="W187">
            <v>168517</v>
          </cell>
          <cell r="X187">
            <v>164686</v>
          </cell>
          <cell r="Y187">
            <v>180729</v>
          </cell>
          <cell r="Z187">
            <v>202367</v>
          </cell>
          <cell r="AA187">
            <v>161935</v>
          </cell>
          <cell r="AB187">
            <v>140352</v>
          </cell>
          <cell r="AC187">
            <v>136551</v>
          </cell>
          <cell r="AD187">
            <v>137768</v>
          </cell>
          <cell r="AE187">
            <v>132535</v>
          </cell>
          <cell r="AF187">
            <v>142429</v>
          </cell>
          <cell r="AG187">
            <v>157363</v>
          </cell>
          <cell r="AI187">
            <v>154690</v>
          </cell>
        </row>
        <row r="188">
          <cell r="I188">
            <v>520945</v>
          </cell>
          <cell r="J188">
            <v>521096</v>
          </cell>
          <cell r="K188">
            <v>576500</v>
          </cell>
          <cell r="L188">
            <v>573442</v>
          </cell>
          <cell r="M188">
            <v>598878</v>
          </cell>
          <cell r="N188">
            <v>644492</v>
          </cell>
          <cell r="O188">
            <v>601424</v>
          </cell>
          <cell r="P188">
            <v>488536</v>
          </cell>
          <cell r="Q188">
            <v>474982</v>
          </cell>
          <cell r="R188">
            <v>446500</v>
          </cell>
          <cell r="S188">
            <v>515879</v>
          </cell>
          <cell r="T188">
            <v>524080</v>
          </cell>
          <cell r="U188">
            <v>465865</v>
          </cell>
          <cell r="V188">
            <v>509138</v>
          </cell>
          <cell r="W188">
            <v>527623</v>
          </cell>
          <cell r="X188">
            <v>531072</v>
          </cell>
          <cell r="Y188">
            <v>535318</v>
          </cell>
          <cell r="Z188">
            <v>591952</v>
          </cell>
          <cell r="AA188">
            <v>536078</v>
          </cell>
          <cell r="AB188">
            <v>423521</v>
          </cell>
          <cell r="AC188">
            <v>422593</v>
          </cell>
          <cell r="AD188">
            <v>504064</v>
          </cell>
          <cell r="AE188">
            <v>435668</v>
          </cell>
          <cell r="AF188">
            <v>504975</v>
          </cell>
          <cell r="AG188">
            <v>448440</v>
          </cell>
          <cell r="AI188">
            <v>521096</v>
          </cell>
        </row>
        <row r="189">
          <cell r="I189">
            <v>507026</v>
          </cell>
          <cell r="J189">
            <v>572125</v>
          </cell>
          <cell r="K189">
            <v>370657</v>
          </cell>
          <cell r="L189">
            <v>158100</v>
          </cell>
          <cell r="M189">
            <v>164911</v>
          </cell>
          <cell r="N189">
            <v>239667</v>
          </cell>
          <cell r="O189">
            <v>457411</v>
          </cell>
          <cell r="P189">
            <v>601624</v>
          </cell>
          <cell r="Q189">
            <v>546264</v>
          </cell>
          <cell r="R189">
            <v>612913</v>
          </cell>
          <cell r="S189">
            <v>535315</v>
          </cell>
          <cell r="T189">
            <v>556592</v>
          </cell>
          <cell r="U189">
            <v>623346</v>
          </cell>
          <cell r="V189">
            <v>554594</v>
          </cell>
          <cell r="W189">
            <v>721666</v>
          </cell>
          <cell r="X189">
            <v>455698</v>
          </cell>
          <cell r="Y189">
            <v>245024</v>
          </cell>
          <cell r="Z189">
            <v>451199</v>
          </cell>
          <cell r="AA189">
            <v>688939</v>
          </cell>
          <cell r="AB189">
            <v>589123</v>
          </cell>
          <cell r="AC189">
            <v>604240</v>
          </cell>
          <cell r="AD189">
            <v>660295</v>
          </cell>
          <cell r="AE189">
            <v>634088</v>
          </cell>
          <cell r="AF189">
            <v>603568</v>
          </cell>
          <cell r="AG189">
            <v>706323</v>
          </cell>
          <cell r="AI189">
            <v>572125</v>
          </cell>
        </row>
        <row r="190">
          <cell r="I190">
            <v>130509</v>
          </cell>
          <cell r="J190">
            <v>116922</v>
          </cell>
          <cell r="K190">
            <v>115208</v>
          </cell>
          <cell r="L190">
            <v>117515</v>
          </cell>
          <cell r="M190">
            <v>130442</v>
          </cell>
          <cell r="N190">
            <v>149210</v>
          </cell>
          <cell r="O190">
            <v>128193</v>
          </cell>
          <cell r="P190">
            <v>55489</v>
          </cell>
          <cell r="Q190">
            <v>70466</v>
          </cell>
          <cell r="R190">
            <v>72590</v>
          </cell>
          <cell r="S190">
            <v>78481</v>
          </cell>
          <cell r="T190">
            <v>83781</v>
          </cell>
          <cell r="U190">
            <v>87251</v>
          </cell>
          <cell r="V190">
            <v>77550</v>
          </cell>
          <cell r="W190">
            <v>94913</v>
          </cell>
          <cell r="X190">
            <v>88671</v>
          </cell>
          <cell r="Y190">
            <v>102889</v>
          </cell>
          <cell r="Z190">
            <v>122153</v>
          </cell>
          <cell r="AA190">
            <v>98481</v>
          </cell>
          <cell r="AB190">
            <v>82255</v>
          </cell>
          <cell r="AC190">
            <v>82261</v>
          </cell>
          <cell r="AD190">
            <v>93751</v>
          </cell>
          <cell r="AE190">
            <v>79702</v>
          </cell>
          <cell r="AF190">
            <v>87253</v>
          </cell>
          <cell r="AG190">
            <v>80902</v>
          </cell>
          <cell r="AI190">
            <v>116922</v>
          </cell>
        </row>
        <row r="191">
          <cell r="I191">
            <v>272225</v>
          </cell>
          <cell r="J191">
            <v>215932</v>
          </cell>
          <cell r="K191">
            <v>193662</v>
          </cell>
          <cell r="L191">
            <v>207842</v>
          </cell>
          <cell r="M191">
            <v>198895</v>
          </cell>
          <cell r="N191">
            <v>213502</v>
          </cell>
          <cell r="O191">
            <v>630988</v>
          </cell>
          <cell r="P191">
            <v>539930</v>
          </cell>
          <cell r="Q191">
            <v>552697</v>
          </cell>
          <cell r="R191">
            <v>577672</v>
          </cell>
          <cell r="S191">
            <v>583998</v>
          </cell>
          <cell r="T191">
            <v>614699</v>
          </cell>
          <cell r="U191">
            <v>573108</v>
          </cell>
          <cell r="V191">
            <v>562411</v>
          </cell>
          <cell r="W191">
            <v>618164</v>
          </cell>
          <cell r="X191">
            <v>549172</v>
          </cell>
          <cell r="Y191">
            <v>577272</v>
          </cell>
          <cell r="Z191">
            <v>644863</v>
          </cell>
          <cell r="AA191">
            <v>619394</v>
          </cell>
          <cell r="AB191">
            <v>524247</v>
          </cell>
          <cell r="AC191">
            <v>618307</v>
          </cell>
          <cell r="AD191">
            <v>770329</v>
          </cell>
          <cell r="AE191">
            <v>752612</v>
          </cell>
          <cell r="AF191">
            <v>778621</v>
          </cell>
          <cell r="AG191">
            <v>763814</v>
          </cell>
          <cell r="AI191">
            <v>215932</v>
          </cell>
        </row>
        <row r="192">
          <cell r="I192">
            <v>242610</v>
          </cell>
          <cell r="J192">
            <v>219094</v>
          </cell>
          <cell r="K192">
            <v>256806</v>
          </cell>
          <cell r="L192">
            <v>252304</v>
          </cell>
          <cell r="M192">
            <v>257007</v>
          </cell>
          <cell r="N192">
            <v>328871</v>
          </cell>
          <cell r="O192">
            <v>252315</v>
          </cell>
          <cell r="P192">
            <v>241173</v>
          </cell>
          <cell r="Q192">
            <v>281054</v>
          </cell>
          <cell r="R192">
            <v>306396</v>
          </cell>
          <cell r="S192">
            <v>278977</v>
          </cell>
          <cell r="T192">
            <v>325049</v>
          </cell>
          <cell r="U192">
            <v>294149</v>
          </cell>
          <cell r="V192">
            <v>281503</v>
          </cell>
          <cell r="W192">
            <v>301870</v>
          </cell>
          <cell r="X192">
            <v>277441</v>
          </cell>
          <cell r="Y192">
            <v>302947</v>
          </cell>
          <cell r="Z192">
            <v>315102</v>
          </cell>
          <cell r="AA192">
            <v>325996</v>
          </cell>
          <cell r="AB192">
            <v>277139</v>
          </cell>
          <cell r="AC192">
            <v>268336</v>
          </cell>
          <cell r="AD192">
            <v>289569</v>
          </cell>
          <cell r="AE192">
            <v>283282</v>
          </cell>
          <cell r="AF192">
            <v>320009</v>
          </cell>
          <cell r="AG192">
            <v>291981</v>
          </cell>
          <cell r="AI192">
            <v>219094</v>
          </cell>
        </row>
        <row r="193">
          <cell r="I193">
            <v>295894</v>
          </cell>
          <cell r="J193">
            <v>263312</v>
          </cell>
          <cell r="K193">
            <v>257808</v>
          </cell>
          <cell r="L193">
            <v>378431</v>
          </cell>
          <cell r="M193">
            <v>363438</v>
          </cell>
          <cell r="N193">
            <v>366602</v>
          </cell>
          <cell r="O193">
            <v>405017</v>
          </cell>
          <cell r="P193">
            <v>297053</v>
          </cell>
          <cell r="Q193">
            <v>330776</v>
          </cell>
          <cell r="R193">
            <v>367528</v>
          </cell>
          <cell r="S193">
            <v>324654</v>
          </cell>
          <cell r="T193">
            <v>377213</v>
          </cell>
          <cell r="U193">
            <v>331138</v>
          </cell>
          <cell r="V193">
            <v>324731</v>
          </cell>
          <cell r="W193">
            <v>347078</v>
          </cell>
          <cell r="X193">
            <v>333104</v>
          </cell>
          <cell r="Y193">
            <v>345553</v>
          </cell>
          <cell r="Z193">
            <v>346948</v>
          </cell>
          <cell r="AA193">
            <v>387871</v>
          </cell>
          <cell r="AB193">
            <v>303609</v>
          </cell>
          <cell r="AC193">
            <v>346022</v>
          </cell>
          <cell r="AD193">
            <v>372134</v>
          </cell>
          <cell r="AE193">
            <v>333766</v>
          </cell>
          <cell r="AF193">
            <v>439242</v>
          </cell>
          <cell r="AG193">
            <v>482635</v>
          </cell>
          <cell r="AI193">
            <v>263312</v>
          </cell>
        </row>
        <row r="194">
          <cell r="I194">
            <v>516424</v>
          </cell>
          <cell r="J194">
            <v>425361</v>
          </cell>
          <cell r="K194">
            <v>396133</v>
          </cell>
          <cell r="L194">
            <v>420612</v>
          </cell>
          <cell r="M194">
            <v>449843</v>
          </cell>
          <cell r="N194">
            <v>407574</v>
          </cell>
          <cell r="O194">
            <v>455465</v>
          </cell>
          <cell r="P194">
            <v>396920</v>
          </cell>
          <cell r="Q194">
            <v>401822</v>
          </cell>
          <cell r="R194">
            <v>458420</v>
          </cell>
          <cell r="S194">
            <v>403507</v>
          </cell>
          <cell r="T194">
            <v>383400</v>
          </cell>
          <cell r="U194">
            <v>429009</v>
          </cell>
          <cell r="V194">
            <v>395950</v>
          </cell>
          <cell r="W194">
            <v>355540</v>
          </cell>
          <cell r="X194">
            <v>421908</v>
          </cell>
          <cell r="Y194">
            <v>299058</v>
          </cell>
          <cell r="Z194">
            <v>375002</v>
          </cell>
          <cell r="AA194">
            <v>384231</v>
          </cell>
          <cell r="AB194">
            <v>350894</v>
          </cell>
          <cell r="AC194">
            <v>334624</v>
          </cell>
          <cell r="AD194">
            <v>363317</v>
          </cell>
          <cell r="AE194">
            <v>362990</v>
          </cell>
          <cell r="AF194">
            <v>354838</v>
          </cell>
          <cell r="AG194">
            <v>340595</v>
          </cell>
          <cell r="AI194">
            <v>425361</v>
          </cell>
        </row>
        <row r="196">
          <cell r="I196">
            <v>205112124</v>
          </cell>
          <cell r="J196">
            <v>202848316</v>
          </cell>
          <cell r="K196">
            <v>203989444</v>
          </cell>
          <cell r="L196">
            <v>210664463</v>
          </cell>
          <cell r="M196">
            <v>199665415</v>
          </cell>
          <cell r="N196">
            <v>214235837</v>
          </cell>
          <cell r="O196">
            <v>208908386</v>
          </cell>
          <cell r="P196">
            <v>193836458</v>
          </cell>
          <cell r="Q196">
            <v>200375192</v>
          </cell>
          <cell r="R196">
            <v>214162547</v>
          </cell>
          <cell r="S196">
            <v>216590814</v>
          </cell>
          <cell r="T196">
            <v>202276374</v>
          </cell>
          <cell r="U196">
            <v>207503184</v>
          </cell>
          <cell r="V196">
            <v>193534288</v>
          </cell>
          <cell r="W196">
            <v>186190487</v>
          </cell>
          <cell r="X196">
            <v>193247243</v>
          </cell>
          <cell r="Y196">
            <v>189329525</v>
          </cell>
          <cell r="Z196">
            <v>200981428</v>
          </cell>
          <cell r="AA196">
            <v>188617274</v>
          </cell>
          <cell r="AB196">
            <v>166610708</v>
          </cell>
          <cell r="AC196">
            <v>184433065</v>
          </cell>
          <cell r="AD196">
            <v>197180732</v>
          </cell>
          <cell r="AE196">
            <v>183361285</v>
          </cell>
          <cell r="AF196">
            <v>178217072</v>
          </cell>
          <cell r="AG196">
            <v>181634688</v>
          </cell>
          <cell r="AI196">
            <v>202848316</v>
          </cell>
        </row>
        <row r="197">
          <cell r="I197">
            <v>39922786</v>
          </cell>
          <cell r="J197">
            <v>37788267</v>
          </cell>
          <cell r="K197">
            <v>46631052</v>
          </cell>
          <cell r="L197">
            <v>48540260</v>
          </cell>
          <cell r="M197">
            <v>51937962</v>
          </cell>
          <cell r="N197">
            <v>57987314</v>
          </cell>
          <cell r="O197">
            <v>43603433</v>
          </cell>
          <cell r="P197">
            <v>36327112</v>
          </cell>
          <cell r="Q197">
            <v>44553502</v>
          </cell>
          <cell r="R197">
            <v>46413793</v>
          </cell>
          <cell r="S197">
            <v>53392729</v>
          </cell>
          <cell r="T197">
            <v>47322427</v>
          </cell>
          <cell r="U197">
            <v>44320363</v>
          </cell>
          <cell r="V197">
            <v>40684111</v>
          </cell>
          <cell r="W197">
            <v>41634918</v>
          </cell>
          <cell r="X197">
            <v>50758776</v>
          </cell>
          <cell r="Y197">
            <v>59108465</v>
          </cell>
          <cell r="Z197">
            <v>57838323</v>
          </cell>
          <cell r="AA197">
            <v>45686647</v>
          </cell>
          <cell r="AB197">
            <v>36506842</v>
          </cell>
          <cell r="AC197">
            <v>46571568</v>
          </cell>
          <cell r="AD197">
            <v>59429825</v>
          </cell>
          <cell r="AE197">
            <v>59479548</v>
          </cell>
          <cell r="AF197">
            <v>49127529</v>
          </cell>
          <cell r="AG197">
            <v>43406192</v>
          </cell>
          <cell r="AI197">
            <v>37788267</v>
          </cell>
        </row>
        <row r="198">
          <cell r="I198">
            <v>50268179</v>
          </cell>
          <cell r="J198">
            <v>47471168</v>
          </cell>
          <cell r="K198">
            <v>58327428</v>
          </cell>
          <cell r="L198">
            <v>58761143</v>
          </cell>
          <cell r="M198">
            <v>60827888</v>
          </cell>
          <cell r="N198">
            <v>66919610</v>
          </cell>
          <cell r="O198">
            <v>52009042</v>
          </cell>
          <cell r="P198">
            <v>45519262</v>
          </cell>
          <cell r="Q198">
            <v>53634992</v>
          </cell>
          <cell r="R198">
            <v>53855375</v>
          </cell>
          <cell r="S198">
            <v>61509285</v>
          </cell>
          <cell r="T198">
            <v>57070697</v>
          </cell>
          <cell r="U198">
            <v>53361394</v>
          </cell>
          <cell r="V198">
            <v>46866142</v>
          </cell>
          <cell r="W198">
            <v>50184833</v>
          </cell>
          <cell r="X198">
            <v>55125467</v>
          </cell>
          <cell r="Y198">
            <v>64509334</v>
          </cell>
          <cell r="Z198">
            <v>63845471</v>
          </cell>
          <cell r="AA198">
            <v>51919567</v>
          </cell>
          <cell r="AB198">
            <v>42590244</v>
          </cell>
          <cell r="AC198">
            <v>41760763</v>
          </cell>
          <cell r="AD198">
            <v>55078615</v>
          </cell>
          <cell r="AE198">
            <v>53827229</v>
          </cell>
          <cell r="AF198">
            <v>49159670</v>
          </cell>
          <cell r="AG198">
            <v>39928889</v>
          </cell>
          <cell r="AI198">
            <v>47471168</v>
          </cell>
        </row>
        <row r="199">
          <cell r="I199">
            <v>67522378</v>
          </cell>
          <cell r="J199">
            <v>61401542</v>
          </cell>
          <cell r="K199">
            <v>74292996</v>
          </cell>
          <cell r="L199">
            <v>74004622</v>
          </cell>
          <cell r="M199">
            <v>74759740</v>
          </cell>
          <cell r="N199">
            <v>78030507</v>
          </cell>
          <cell r="O199">
            <v>66543710</v>
          </cell>
          <cell r="P199">
            <v>60714492</v>
          </cell>
          <cell r="Q199">
            <v>70556771</v>
          </cell>
          <cell r="R199">
            <v>70964009</v>
          </cell>
          <cell r="S199">
            <v>75778441</v>
          </cell>
          <cell r="T199">
            <v>72127589</v>
          </cell>
          <cell r="U199">
            <v>71734448</v>
          </cell>
          <cell r="V199">
            <v>62906579</v>
          </cell>
          <cell r="W199">
            <v>68989949</v>
          </cell>
          <cell r="X199">
            <v>69676163</v>
          </cell>
          <cell r="Y199">
            <v>76910552</v>
          </cell>
          <cell r="Z199">
            <v>76897198</v>
          </cell>
          <cell r="AA199">
            <v>68919327</v>
          </cell>
          <cell r="AB199">
            <v>55772651</v>
          </cell>
          <cell r="AC199">
            <v>63174285</v>
          </cell>
          <cell r="AD199">
            <v>75929795</v>
          </cell>
          <cell r="AE199">
            <v>69633838</v>
          </cell>
          <cell r="AF199">
            <v>72835412</v>
          </cell>
          <cell r="AG199">
            <v>60068071</v>
          </cell>
          <cell r="AI199">
            <v>61401542</v>
          </cell>
        </row>
        <row r="200">
          <cell r="I200">
            <v>54436746</v>
          </cell>
          <cell r="J200">
            <v>49114835</v>
          </cell>
          <cell r="K200">
            <v>57674871</v>
          </cell>
          <cell r="L200">
            <v>63251380</v>
          </cell>
          <cell r="M200">
            <v>64482105</v>
          </cell>
          <cell r="N200">
            <v>68088946</v>
          </cell>
          <cell r="O200">
            <v>57750223</v>
          </cell>
          <cell r="P200">
            <v>47298301</v>
          </cell>
          <cell r="Q200">
            <v>52051521</v>
          </cell>
          <cell r="R200">
            <v>57793408</v>
          </cell>
          <cell r="S200">
            <v>58821847</v>
          </cell>
          <cell r="T200">
            <v>57450751</v>
          </cell>
          <cell r="U200">
            <v>51642803</v>
          </cell>
          <cell r="V200">
            <v>43628817</v>
          </cell>
          <cell r="W200">
            <v>51568350</v>
          </cell>
          <cell r="X200">
            <v>54952510</v>
          </cell>
          <cell r="Y200">
            <v>64836844</v>
          </cell>
          <cell r="Z200">
            <v>65739711</v>
          </cell>
          <cell r="AA200">
            <v>52207894</v>
          </cell>
          <cell r="AB200">
            <v>41973840</v>
          </cell>
          <cell r="AC200">
            <v>45521287</v>
          </cell>
          <cell r="AD200">
            <v>60870977</v>
          </cell>
          <cell r="AE200">
            <v>56016884</v>
          </cell>
          <cell r="AF200">
            <v>56291658</v>
          </cell>
          <cell r="AG200">
            <v>44942071</v>
          </cell>
          <cell r="AI200">
            <v>49114835</v>
          </cell>
        </row>
        <row r="201">
          <cell r="I201">
            <v>64029928</v>
          </cell>
          <cell r="J201">
            <v>58435310</v>
          </cell>
          <cell r="K201">
            <v>65479479</v>
          </cell>
          <cell r="L201">
            <v>70732769</v>
          </cell>
          <cell r="M201">
            <v>73001855</v>
          </cell>
          <cell r="N201">
            <v>73918974</v>
          </cell>
          <cell r="O201">
            <v>64750133</v>
          </cell>
          <cell r="P201">
            <v>46953785</v>
          </cell>
          <cell r="Q201">
            <v>52226919</v>
          </cell>
          <cell r="R201">
            <v>57118689</v>
          </cell>
          <cell r="S201">
            <v>59853812</v>
          </cell>
          <cell r="T201">
            <v>60820774</v>
          </cell>
          <cell r="U201">
            <v>55074978</v>
          </cell>
          <cell r="V201">
            <v>48744801</v>
          </cell>
          <cell r="W201">
            <v>51806556</v>
          </cell>
          <cell r="X201">
            <v>54689388</v>
          </cell>
          <cell r="Y201">
            <v>68752527</v>
          </cell>
          <cell r="Z201">
            <v>69245557</v>
          </cell>
          <cell r="AA201">
            <v>57420951</v>
          </cell>
          <cell r="AB201">
            <v>47881384</v>
          </cell>
          <cell r="AC201">
            <v>49503009</v>
          </cell>
          <cell r="AD201">
            <v>65255627</v>
          </cell>
          <cell r="AE201">
            <v>59846576</v>
          </cell>
          <cell r="AF201">
            <v>58668927</v>
          </cell>
          <cell r="AG201">
            <v>50061515</v>
          </cell>
          <cell r="AI201">
            <v>58435310</v>
          </cell>
        </row>
        <row r="202">
          <cell r="I202">
            <v>60089205</v>
          </cell>
          <cell r="J202">
            <v>54786404</v>
          </cell>
          <cell r="K202">
            <v>61699975</v>
          </cell>
          <cell r="L202">
            <v>63937314</v>
          </cell>
          <cell r="M202">
            <v>68462985</v>
          </cell>
          <cell r="N202">
            <v>72541095</v>
          </cell>
          <cell r="O202">
            <v>58809153</v>
          </cell>
          <cell r="P202">
            <v>57393131</v>
          </cell>
          <cell r="Q202">
            <v>61823426</v>
          </cell>
          <cell r="R202">
            <v>70706841</v>
          </cell>
          <cell r="S202">
            <v>70932193</v>
          </cell>
          <cell r="T202">
            <v>76931478</v>
          </cell>
          <cell r="U202">
            <v>67999358</v>
          </cell>
          <cell r="V202">
            <v>60836567</v>
          </cell>
          <cell r="W202">
            <v>65075820</v>
          </cell>
          <cell r="X202">
            <v>66212247</v>
          </cell>
          <cell r="Y202">
            <v>77162092</v>
          </cell>
          <cell r="Z202">
            <v>79381376</v>
          </cell>
          <cell r="AA202">
            <v>68904235</v>
          </cell>
          <cell r="AB202">
            <v>55807251</v>
          </cell>
          <cell r="AC202">
            <v>58953878</v>
          </cell>
          <cell r="AD202">
            <v>74769872</v>
          </cell>
          <cell r="AE202">
            <v>73290895</v>
          </cell>
          <cell r="AF202">
            <v>71767958</v>
          </cell>
          <cell r="AG202">
            <v>59367697</v>
          </cell>
          <cell r="AI202">
            <v>54786404</v>
          </cell>
        </row>
        <row r="203">
          <cell r="I203">
            <v>55563207</v>
          </cell>
          <cell r="J203">
            <v>51218857</v>
          </cell>
          <cell r="K203">
            <v>59327665</v>
          </cell>
          <cell r="L203">
            <v>64874873</v>
          </cell>
          <cell r="M203">
            <v>68338547</v>
          </cell>
          <cell r="N203">
            <v>72810995</v>
          </cell>
          <cell r="O203">
            <v>58084727</v>
          </cell>
          <cell r="P203">
            <v>49373867</v>
          </cell>
          <cell r="Q203">
            <v>51513199</v>
          </cell>
          <cell r="R203">
            <v>60426950</v>
          </cell>
          <cell r="S203">
            <v>61509116</v>
          </cell>
          <cell r="T203">
            <v>68791272</v>
          </cell>
          <cell r="U203">
            <v>61552172</v>
          </cell>
          <cell r="V203">
            <v>52848586</v>
          </cell>
          <cell r="W203">
            <v>59517321</v>
          </cell>
          <cell r="X203">
            <v>59225739</v>
          </cell>
          <cell r="Y203">
            <v>72427808</v>
          </cell>
          <cell r="Z203">
            <v>76517577</v>
          </cell>
          <cell r="AA203">
            <v>61257589</v>
          </cell>
          <cell r="AB203">
            <v>48740844</v>
          </cell>
          <cell r="AC203">
            <v>51054222</v>
          </cell>
          <cell r="AD203">
            <v>65895619</v>
          </cell>
          <cell r="AE203">
            <v>64114537</v>
          </cell>
          <cell r="AF203">
            <v>63136154</v>
          </cell>
          <cell r="AG203">
            <v>49670102</v>
          </cell>
          <cell r="AI203">
            <v>51218857</v>
          </cell>
        </row>
        <row r="204">
          <cell r="I204">
            <v>54947005</v>
          </cell>
          <cell r="J204">
            <v>49092642</v>
          </cell>
          <cell r="K204">
            <v>54613824</v>
          </cell>
          <cell r="L204">
            <v>61126604</v>
          </cell>
          <cell r="M204">
            <v>63430781</v>
          </cell>
          <cell r="N204">
            <v>68078237</v>
          </cell>
          <cell r="O204">
            <v>55347011</v>
          </cell>
          <cell r="P204">
            <v>47088872</v>
          </cell>
          <cell r="Q204">
            <v>50810695</v>
          </cell>
          <cell r="R204">
            <v>59933656</v>
          </cell>
          <cell r="S204">
            <v>58820353</v>
          </cell>
          <cell r="T204">
            <v>66267634</v>
          </cell>
          <cell r="U204">
            <v>57185372</v>
          </cell>
          <cell r="V204">
            <v>48282078</v>
          </cell>
          <cell r="W204">
            <v>57701158</v>
          </cell>
          <cell r="X204">
            <v>55662294</v>
          </cell>
          <cell r="Y204">
            <v>67483581</v>
          </cell>
          <cell r="Z204">
            <v>71903388</v>
          </cell>
          <cell r="AA204">
            <v>57356805</v>
          </cell>
          <cell r="AB204">
            <v>48538642</v>
          </cell>
          <cell r="AC204">
            <v>50366701</v>
          </cell>
          <cell r="AD204">
            <v>63191178</v>
          </cell>
          <cell r="AE204">
            <v>59149807</v>
          </cell>
          <cell r="AF204">
            <v>61053865</v>
          </cell>
          <cell r="AG204">
            <v>48678533</v>
          </cell>
          <cell r="AI204">
            <v>49092642</v>
          </cell>
        </row>
        <row r="205">
          <cell r="I205">
            <v>53940673</v>
          </cell>
          <cell r="J205">
            <v>46783033</v>
          </cell>
          <cell r="K205">
            <v>50871628</v>
          </cell>
          <cell r="L205">
            <v>58835131</v>
          </cell>
          <cell r="M205">
            <v>63035756</v>
          </cell>
          <cell r="N205">
            <v>64325267</v>
          </cell>
          <cell r="O205">
            <v>54434403</v>
          </cell>
          <cell r="P205">
            <v>43920251</v>
          </cell>
          <cell r="Q205">
            <v>47054168</v>
          </cell>
          <cell r="R205">
            <v>56876242</v>
          </cell>
          <cell r="S205">
            <v>55747399</v>
          </cell>
          <cell r="T205">
            <v>60328544</v>
          </cell>
          <cell r="U205">
            <v>55210981</v>
          </cell>
          <cell r="V205">
            <v>46362911</v>
          </cell>
          <cell r="W205">
            <v>52932693</v>
          </cell>
          <cell r="X205">
            <v>53812412</v>
          </cell>
          <cell r="Y205">
            <v>64849448</v>
          </cell>
          <cell r="Z205">
            <v>67828114</v>
          </cell>
          <cell r="AA205">
            <v>55169026</v>
          </cell>
          <cell r="AB205">
            <v>44953497</v>
          </cell>
          <cell r="AC205">
            <v>45990712</v>
          </cell>
          <cell r="AD205">
            <v>63068817</v>
          </cell>
          <cell r="AE205">
            <v>57864370</v>
          </cell>
          <cell r="AF205">
            <v>58500083</v>
          </cell>
          <cell r="AG205">
            <v>46798174</v>
          </cell>
          <cell r="AI205">
            <v>46783033</v>
          </cell>
        </row>
        <row r="206">
          <cell r="I206">
            <v>60545445</v>
          </cell>
          <cell r="J206">
            <v>53517450</v>
          </cell>
          <cell r="K206">
            <v>55091203</v>
          </cell>
          <cell r="L206">
            <v>66010056</v>
          </cell>
          <cell r="M206">
            <v>69190352</v>
          </cell>
          <cell r="N206">
            <v>73706650</v>
          </cell>
          <cell r="O206">
            <v>61682089</v>
          </cell>
          <cell r="P206">
            <v>49332334</v>
          </cell>
          <cell r="Q206">
            <v>54445689</v>
          </cell>
          <cell r="R206">
            <v>64512521</v>
          </cell>
          <cell r="S206">
            <v>62689051</v>
          </cell>
          <cell r="T206">
            <v>70257957</v>
          </cell>
          <cell r="U206">
            <v>63851387</v>
          </cell>
          <cell r="V206">
            <v>53419150</v>
          </cell>
          <cell r="W206">
            <v>56251479</v>
          </cell>
          <cell r="X206">
            <v>58184128</v>
          </cell>
          <cell r="Y206">
            <v>70169497</v>
          </cell>
          <cell r="Z206">
            <v>73695857</v>
          </cell>
          <cell r="AA206">
            <v>61448299</v>
          </cell>
          <cell r="AB206">
            <v>48133168</v>
          </cell>
          <cell r="AC206">
            <v>49733209</v>
          </cell>
          <cell r="AD206">
            <v>67047849</v>
          </cell>
          <cell r="AE206">
            <v>60283285</v>
          </cell>
          <cell r="AF206">
            <v>66470500</v>
          </cell>
          <cell r="AG206">
            <v>53021338</v>
          </cell>
          <cell r="AI206">
            <v>53517450</v>
          </cell>
        </row>
        <row r="207">
          <cell r="I207">
            <v>76281995</v>
          </cell>
          <cell r="J207">
            <v>64546137</v>
          </cell>
          <cell r="K207">
            <v>68235691</v>
          </cell>
          <cell r="L207">
            <v>76443009</v>
          </cell>
          <cell r="M207">
            <v>80641315</v>
          </cell>
          <cell r="N207">
            <v>86807693</v>
          </cell>
          <cell r="O207">
            <v>72502284</v>
          </cell>
          <cell r="P207">
            <v>59650326</v>
          </cell>
          <cell r="Q207">
            <v>62414278</v>
          </cell>
          <cell r="R207">
            <v>73972456</v>
          </cell>
          <cell r="S207">
            <v>70976321</v>
          </cell>
          <cell r="T207">
            <v>80925731</v>
          </cell>
          <cell r="U207">
            <v>71122379</v>
          </cell>
          <cell r="V207">
            <v>62490629</v>
          </cell>
          <cell r="W207">
            <v>67553936</v>
          </cell>
          <cell r="X207">
            <v>66358023</v>
          </cell>
          <cell r="Y207">
            <v>82460397</v>
          </cell>
          <cell r="Z207">
            <v>84341435</v>
          </cell>
          <cell r="AA207">
            <v>74772235</v>
          </cell>
          <cell r="AB207">
            <v>59263361</v>
          </cell>
          <cell r="AC207">
            <v>58798182</v>
          </cell>
          <cell r="AD207">
            <v>76822836</v>
          </cell>
          <cell r="AE207">
            <v>75339200</v>
          </cell>
          <cell r="AF207">
            <v>75529228</v>
          </cell>
          <cell r="AG207">
            <v>63100202</v>
          </cell>
          <cell r="AI207">
            <v>64546137</v>
          </cell>
        </row>
        <row r="208">
          <cell r="I208">
            <v>42261775</v>
          </cell>
          <cell r="J208">
            <v>36180225</v>
          </cell>
          <cell r="K208">
            <v>39098375</v>
          </cell>
          <cell r="L208">
            <v>46749590</v>
          </cell>
          <cell r="M208">
            <v>49518207</v>
          </cell>
          <cell r="N208">
            <v>54065403</v>
          </cell>
          <cell r="O208">
            <v>45179742</v>
          </cell>
          <cell r="P208">
            <v>35980056</v>
          </cell>
          <cell r="Q208">
            <v>35481712</v>
          </cell>
          <cell r="R208">
            <v>46033566</v>
          </cell>
          <cell r="S208">
            <v>43523841</v>
          </cell>
          <cell r="T208">
            <v>50170949</v>
          </cell>
          <cell r="U208">
            <v>44010409</v>
          </cell>
          <cell r="V208">
            <v>37005610</v>
          </cell>
          <cell r="W208">
            <v>47184750</v>
          </cell>
          <cell r="X208">
            <v>45948475</v>
          </cell>
          <cell r="Y208">
            <v>57937697</v>
          </cell>
          <cell r="Z208">
            <v>61585045</v>
          </cell>
          <cell r="AA208">
            <v>52600758</v>
          </cell>
          <cell r="AB208">
            <v>40173642</v>
          </cell>
          <cell r="AC208">
            <v>39527481</v>
          </cell>
          <cell r="AD208">
            <v>51637747</v>
          </cell>
          <cell r="AE208">
            <v>52618663</v>
          </cell>
          <cell r="AF208">
            <v>54487732</v>
          </cell>
          <cell r="AG208">
            <v>41498472</v>
          </cell>
          <cell r="AI208">
            <v>36180225</v>
          </cell>
        </row>
        <row r="209">
          <cell r="I209">
            <v>68940368</v>
          </cell>
          <cell r="J209">
            <v>60189911</v>
          </cell>
          <cell r="K209">
            <v>62761702</v>
          </cell>
          <cell r="L209">
            <v>73203484</v>
          </cell>
          <cell r="M209">
            <v>74172936</v>
          </cell>
          <cell r="N209">
            <v>83119802</v>
          </cell>
          <cell r="O209">
            <v>72610884</v>
          </cell>
          <cell r="P209">
            <v>60303918</v>
          </cell>
          <cell r="Q209">
            <v>57455251</v>
          </cell>
          <cell r="R209">
            <v>72071433</v>
          </cell>
          <cell r="S209">
            <v>65867665</v>
          </cell>
          <cell r="T209">
            <v>69701666</v>
          </cell>
          <cell r="U209">
            <v>62584670</v>
          </cell>
          <cell r="V209">
            <v>56199303</v>
          </cell>
          <cell r="W209">
            <v>58530183</v>
          </cell>
          <cell r="X209">
            <v>57838405</v>
          </cell>
          <cell r="Y209">
            <v>67898684</v>
          </cell>
          <cell r="Z209">
            <v>74168121</v>
          </cell>
          <cell r="AA209">
            <v>63156861</v>
          </cell>
          <cell r="AB209">
            <v>52285141</v>
          </cell>
          <cell r="AC209">
            <v>50990051</v>
          </cell>
          <cell r="AD209">
            <v>63131608</v>
          </cell>
          <cell r="AE209">
            <v>62021837</v>
          </cell>
          <cell r="AF209">
            <v>63932576</v>
          </cell>
          <cell r="AG209">
            <v>52102522</v>
          </cell>
          <cell r="AI209">
            <v>60189911</v>
          </cell>
        </row>
        <row r="210">
          <cell r="I210">
            <v>61647334</v>
          </cell>
          <cell r="J210">
            <v>52857831</v>
          </cell>
          <cell r="K210">
            <v>53191134</v>
          </cell>
          <cell r="L210">
            <v>62028535</v>
          </cell>
          <cell r="M210">
            <v>65628717</v>
          </cell>
          <cell r="N210">
            <v>71478257</v>
          </cell>
          <cell r="O210">
            <v>61291333</v>
          </cell>
          <cell r="P210">
            <v>51331035</v>
          </cell>
          <cell r="Q210">
            <v>49990132</v>
          </cell>
          <cell r="R210">
            <v>61841804</v>
          </cell>
          <cell r="S210">
            <v>59433128</v>
          </cell>
          <cell r="T210">
            <v>71717485</v>
          </cell>
          <cell r="U210">
            <v>66003262</v>
          </cell>
          <cell r="V210">
            <v>58418882</v>
          </cell>
          <cell r="W210">
            <v>55626857</v>
          </cell>
          <cell r="X210">
            <v>54791510</v>
          </cell>
          <cell r="Y210">
            <v>66515043</v>
          </cell>
          <cell r="Z210">
            <v>71756727</v>
          </cell>
          <cell r="AA210">
            <v>63333490</v>
          </cell>
          <cell r="AB210">
            <v>50451005</v>
          </cell>
          <cell r="AC210">
            <v>50132519</v>
          </cell>
          <cell r="AD210">
            <v>64063076</v>
          </cell>
          <cell r="AE210">
            <v>60532343</v>
          </cell>
          <cell r="AF210">
            <v>64782339</v>
          </cell>
          <cell r="AG210">
            <v>51002940</v>
          </cell>
          <cell r="AI210">
            <v>52857831</v>
          </cell>
        </row>
        <row r="211">
          <cell r="I211">
            <v>62675813</v>
          </cell>
          <cell r="J211">
            <v>56692139</v>
          </cell>
          <cell r="K211">
            <v>53606801</v>
          </cell>
          <cell r="L211">
            <v>63463526</v>
          </cell>
          <cell r="M211">
            <v>67451507</v>
          </cell>
          <cell r="N211">
            <v>73196042</v>
          </cell>
          <cell r="O211">
            <v>69284325</v>
          </cell>
          <cell r="P211">
            <v>55607151</v>
          </cell>
          <cell r="Q211">
            <v>55897708</v>
          </cell>
          <cell r="R211">
            <v>69333240</v>
          </cell>
          <cell r="S211">
            <v>69551039</v>
          </cell>
          <cell r="T211">
            <v>74084770</v>
          </cell>
          <cell r="U211">
            <v>68139551</v>
          </cell>
          <cell r="V211">
            <v>62927505</v>
          </cell>
          <cell r="W211">
            <v>65956306</v>
          </cell>
          <cell r="X211">
            <v>67064680</v>
          </cell>
          <cell r="Y211">
            <v>79974599</v>
          </cell>
          <cell r="Z211">
            <v>82006907</v>
          </cell>
          <cell r="AA211">
            <v>77057847</v>
          </cell>
          <cell r="AB211">
            <v>60225422</v>
          </cell>
          <cell r="AC211">
            <v>60190184</v>
          </cell>
          <cell r="AD211">
            <v>73938979</v>
          </cell>
          <cell r="AE211">
            <v>73549941</v>
          </cell>
          <cell r="AF211">
            <v>76248504</v>
          </cell>
          <cell r="AG211">
            <v>63006278</v>
          </cell>
          <cell r="AI211">
            <v>56692139</v>
          </cell>
        </row>
        <row r="212">
          <cell r="I212">
            <v>104741027</v>
          </cell>
          <cell r="J212">
            <v>85140167</v>
          </cell>
          <cell r="K212">
            <v>90639039</v>
          </cell>
          <cell r="L212">
            <v>94051914</v>
          </cell>
          <cell r="M212">
            <v>94660386</v>
          </cell>
          <cell r="N212">
            <v>105061839</v>
          </cell>
          <cell r="O212">
            <v>101411967</v>
          </cell>
          <cell r="P212">
            <v>86225273</v>
          </cell>
          <cell r="Q212">
            <v>90137061</v>
          </cell>
          <cell r="R212">
            <v>109307984</v>
          </cell>
          <cell r="S212">
            <v>98540857</v>
          </cell>
          <cell r="T212">
            <v>110118576</v>
          </cell>
          <cell r="U212">
            <v>100896865</v>
          </cell>
          <cell r="V212">
            <v>94299085</v>
          </cell>
          <cell r="W212">
            <v>94182735</v>
          </cell>
          <cell r="X212">
            <v>87852055</v>
          </cell>
          <cell r="Y212">
            <v>102194945</v>
          </cell>
          <cell r="Z212">
            <v>103712365</v>
          </cell>
          <cell r="AA212">
            <v>102202508</v>
          </cell>
          <cell r="AB212">
            <v>86056196</v>
          </cell>
          <cell r="AC212">
            <v>82756364</v>
          </cell>
          <cell r="AD212">
            <v>105262668</v>
          </cell>
          <cell r="AE212">
            <v>109867451</v>
          </cell>
          <cell r="AF212">
            <v>107704446</v>
          </cell>
          <cell r="AG212">
            <v>87699009</v>
          </cell>
          <cell r="AI212">
            <v>85140167</v>
          </cell>
        </row>
        <row r="213">
          <cell r="I213">
            <v>60820665</v>
          </cell>
          <cell r="J213">
            <v>50009384</v>
          </cell>
          <cell r="K213">
            <v>52231056</v>
          </cell>
          <cell r="L213">
            <v>60473482</v>
          </cell>
          <cell r="M213">
            <v>61571184</v>
          </cell>
          <cell r="N213">
            <v>64662390</v>
          </cell>
          <cell r="O213">
            <v>68461812</v>
          </cell>
          <cell r="P213">
            <v>49247782</v>
          </cell>
          <cell r="Q213">
            <v>52846119</v>
          </cell>
          <cell r="R213">
            <v>59039951</v>
          </cell>
          <cell r="S213">
            <v>58727006</v>
          </cell>
          <cell r="T213">
            <v>64915094</v>
          </cell>
          <cell r="U213">
            <v>58538576</v>
          </cell>
          <cell r="V213">
            <v>53442647</v>
          </cell>
          <cell r="W213">
            <v>54967800</v>
          </cell>
          <cell r="X213">
            <v>54627534</v>
          </cell>
          <cell r="Y213">
            <v>67309523</v>
          </cell>
          <cell r="Z213">
            <v>65698659</v>
          </cell>
          <cell r="AA213">
            <v>70370265</v>
          </cell>
          <cell r="AB213">
            <v>47460104</v>
          </cell>
          <cell r="AC213">
            <v>47384550</v>
          </cell>
          <cell r="AD213">
            <v>59378415</v>
          </cell>
          <cell r="AE213">
            <v>63811106</v>
          </cell>
          <cell r="AF213">
            <v>64659036</v>
          </cell>
          <cell r="AG213">
            <v>49664224</v>
          </cell>
          <cell r="AI213">
            <v>50009384</v>
          </cell>
        </row>
        <row r="214">
          <cell r="I214">
            <v>63297050</v>
          </cell>
          <cell r="J214">
            <v>54772569</v>
          </cell>
          <cell r="K214">
            <v>52350527</v>
          </cell>
          <cell r="L214">
            <v>70260236</v>
          </cell>
          <cell r="M214">
            <v>64892765</v>
          </cell>
          <cell r="N214">
            <v>65220767</v>
          </cell>
          <cell r="O214">
            <v>74312881</v>
          </cell>
          <cell r="P214">
            <v>54611698</v>
          </cell>
          <cell r="Q214">
            <v>52279253</v>
          </cell>
          <cell r="R214">
            <v>62809825</v>
          </cell>
          <cell r="S214">
            <v>60677629</v>
          </cell>
          <cell r="T214">
            <v>65816366</v>
          </cell>
          <cell r="U214">
            <v>63044397</v>
          </cell>
          <cell r="V214">
            <v>56668456</v>
          </cell>
          <cell r="W214">
            <v>56747818</v>
          </cell>
          <cell r="X214">
            <v>60551639</v>
          </cell>
          <cell r="Y214">
            <v>69732779</v>
          </cell>
          <cell r="Z214">
            <v>69381526</v>
          </cell>
          <cell r="AA214">
            <v>71336410</v>
          </cell>
          <cell r="AB214">
            <v>54495541</v>
          </cell>
          <cell r="AC214">
            <v>52654596</v>
          </cell>
          <cell r="AD214">
            <v>57921825</v>
          </cell>
          <cell r="AE214">
            <v>59779001</v>
          </cell>
          <cell r="AF214">
            <v>61416732</v>
          </cell>
          <cell r="AG214">
            <v>51108828</v>
          </cell>
          <cell r="AI214">
            <v>54772569</v>
          </cell>
        </row>
        <row r="215">
          <cell r="I215">
            <v>150553026</v>
          </cell>
          <cell r="J215">
            <v>71858126</v>
          </cell>
          <cell r="K215">
            <v>103518888</v>
          </cell>
          <cell r="L215">
            <v>134562713</v>
          </cell>
          <cell r="M215">
            <v>107007775</v>
          </cell>
          <cell r="N215">
            <v>119713352</v>
          </cell>
          <cell r="O215">
            <v>132009728</v>
          </cell>
          <cell r="P215">
            <v>97895758</v>
          </cell>
          <cell r="Q215">
            <v>104476407</v>
          </cell>
          <cell r="R215">
            <v>111328431</v>
          </cell>
          <cell r="S215">
            <v>112015920</v>
          </cell>
          <cell r="T215">
            <v>120414097</v>
          </cell>
          <cell r="U215">
            <v>115312844</v>
          </cell>
          <cell r="V215">
            <v>106672945</v>
          </cell>
          <cell r="W215">
            <v>106754501</v>
          </cell>
          <cell r="X215">
            <v>113663372</v>
          </cell>
          <cell r="Y215">
            <v>112893412</v>
          </cell>
          <cell r="Z215">
            <v>130165678</v>
          </cell>
          <cell r="AA215">
            <v>125663344</v>
          </cell>
          <cell r="AB215">
            <v>104995620</v>
          </cell>
          <cell r="AC215">
            <v>108795962</v>
          </cell>
          <cell r="AD215">
            <v>101272906</v>
          </cell>
          <cell r="AE215">
            <v>114013360</v>
          </cell>
          <cell r="AF215">
            <v>128772711</v>
          </cell>
          <cell r="AG215">
            <v>96838891</v>
          </cell>
          <cell r="AI215">
            <v>71858126</v>
          </cell>
        </row>
        <row r="217">
          <cell r="I217">
            <v>785442</v>
          </cell>
          <cell r="J217">
            <v>1072325</v>
          </cell>
          <cell r="K217">
            <v>1627854</v>
          </cell>
          <cell r="L217">
            <v>1737004</v>
          </cell>
          <cell r="M217">
            <v>1926605</v>
          </cell>
          <cell r="N217">
            <v>2192924</v>
          </cell>
          <cell r="O217">
            <v>1149141</v>
          </cell>
          <cell r="P217">
            <v>707537</v>
          </cell>
          <cell r="Q217">
            <v>667603</v>
          </cell>
          <cell r="R217">
            <v>717285</v>
          </cell>
          <cell r="S217">
            <v>860877</v>
          </cell>
          <cell r="T217">
            <v>706425</v>
          </cell>
          <cell r="U217">
            <v>698515</v>
          </cell>
          <cell r="V217">
            <v>916904</v>
          </cell>
          <cell r="W217">
            <v>1115875</v>
          </cell>
          <cell r="X217">
            <v>1506023</v>
          </cell>
          <cell r="Y217">
            <v>1904968</v>
          </cell>
          <cell r="Z217">
            <v>1815087</v>
          </cell>
          <cell r="AA217">
            <v>1204159</v>
          </cell>
          <cell r="AB217">
            <v>801691</v>
          </cell>
          <cell r="AC217">
            <v>666826</v>
          </cell>
          <cell r="AD217">
            <v>844330</v>
          </cell>
          <cell r="AE217">
            <v>771380</v>
          </cell>
          <cell r="AF217">
            <v>656764</v>
          </cell>
          <cell r="AG217">
            <v>662484</v>
          </cell>
          <cell r="AI217">
            <v>1072325</v>
          </cell>
        </row>
        <row r="218">
          <cell r="I218">
            <v>1134702</v>
          </cell>
          <cell r="J218">
            <v>1447186</v>
          </cell>
          <cell r="K218">
            <v>2197994</v>
          </cell>
          <cell r="L218">
            <v>2504847</v>
          </cell>
          <cell r="M218">
            <v>2721542</v>
          </cell>
          <cell r="N218">
            <v>3091731</v>
          </cell>
          <cell r="O218">
            <v>1040473</v>
          </cell>
          <cell r="P218">
            <v>641737</v>
          </cell>
          <cell r="Q218">
            <v>632153</v>
          </cell>
          <cell r="R218">
            <v>658864</v>
          </cell>
          <cell r="S218">
            <v>777850</v>
          </cell>
          <cell r="T218">
            <v>686088</v>
          </cell>
          <cell r="U218">
            <v>617205</v>
          </cell>
          <cell r="V218">
            <v>758446</v>
          </cell>
          <cell r="W218">
            <v>1088753</v>
          </cell>
          <cell r="X218">
            <v>1321231</v>
          </cell>
          <cell r="Y218">
            <v>1858273</v>
          </cell>
          <cell r="Z218">
            <v>1707321</v>
          </cell>
          <cell r="AA218">
            <v>1108627</v>
          </cell>
          <cell r="AB218">
            <v>753706</v>
          </cell>
          <cell r="AC218">
            <v>624482</v>
          </cell>
          <cell r="AD218">
            <v>787028</v>
          </cell>
          <cell r="AE218">
            <v>733955</v>
          </cell>
          <cell r="AF218">
            <v>661851</v>
          </cell>
          <cell r="AG218">
            <v>566306</v>
          </cell>
          <cell r="AI218">
            <v>1447186</v>
          </cell>
        </row>
        <row r="219">
          <cell r="I219">
            <v>1016314</v>
          </cell>
          <cell r="J219">
            <v>1261852</v>
          </cell>
          <cell r="K219">
            <v>1755208</v>
          </cell>
          <cell r="L219">
            <v>2128296</v>
          </cell>
          <cell r="M219">
            <v>2307742</v>
          </cell>
          <cell r="N219">
            <v>2535678</v>
          </cell>
          <cell r="O219">
            <v>658591</v>
          </cell>
          <cell r="P219">
            <v>418442</v>
          </cell>
          <cell r="Q219">
            <v>418134</v>
          </cell>
          <cell r="R219">
            <v>482739</v>
          </cell>
          <cell r="S219">
            <v>519825</v>
          </cell>
          <cell r="T219">
            <v>503762</v>
          </cell>
          <cell r="U219">
            <v>444993</v>
          </cell>
          <cell r="V219">
            <v>494510</v>
          </cell>
          <cell r="W219">
            <v>688639</v>
          </cell>
          <cell r="X219">
            <v>803537</v>
          </cell>
          <cell r="Y219">
            <v>1080727</v>
          </cell>
          <cell r="Z219">
            <v>1081781</v>
          </cell>
          <cell r="AA219">
            <v>673166</v>
          </cell>
          <cell r="AB219">
            <v>456784</v>
          </cell>
          <cell r="AC219">
            <v>424225</v>
          </cell>
          <cell r="AD219">
            <v>524843</v>
          </cell>
          <cell r="AE219">
            <v>471860</v>
          </cell>
          <cell r="AF219">
            <v>476047</v>
          </cell>
          <cell r="AG219">
            <v>377845</v>
          </cell>
          <cell r="AI219">
            <v>1261852</v>
          </cell>
        </row>
        <row r="220">
          <cell r="I220">
            <v>1255407</v>
          </cell>
          <cell r="J220">
            <v>1562240</v>
          </cell>
          <cell r="K220">
            <v>2258658</v>
          </cell>
          <cell r="L220">
            <v>2679702</v>
          </cell>
          <cell r="M220">
            <v>2966487</v>
          </cell>
          <cell r="N220">
            <v>3120554</v>
          </cell>
          <cell r="O220">
            <v>929299</v>
          </cell>
          <cell r="P220">
            <v>518911</v>
          </cell>
          <cell r="Q220">
            <v>532735</v>
          </cell>
          <cell r="R220">
            <v>579422</v>
          </cell>
          <cell r="S220">
            <v>629158</v>
          </cell>
          <cell r="T220">
            <v>630720</v>
          </cell>
          <cell r="U220">
            <v>533568</v>
          </cell>
          <cell r="V220">
            <v>639795</v>
          </cell>
          <cell r="W220">
            <v>893959</v>
          </cell>
          <cell r="X220">
            <v>1043181</v>
          </cell>
          <cell r="Y220">
            <v>1452050</v>
          </cell>
          <cell r="Z220">
            <v>1357494</v>
          </cell>
          <cell r="AA220">
            <v>944988</v>
          </cell>
          <cell r="AB220">
            <v>590824</v>
          </cell>
          <cell r="AC220">
            <v>521785</v>
          </cell>
          <cell r="AD220">
            <v>648247</v>
          </cell>
          <cell r="AE220">
            <v>575555</v>
          </cell>
          <cell r="AF220">
            <v>569772</v>
          </cell>
          <cell r="AG220">
            <v>505700</v>
          </cell>
          <cell r="AI220">
            <v>1562240</v>
          </cell>
        </row>
        <row r="221">
          <cell r="I221">
            <v>1096231</v>
          </cell>
          <cell r="J221">
            <v>1482495</v>
          </cell>
          <cell r="K221">
            <v>2017679</v>
          </cell>
          <cell r="L221">
            <v>2451893</v>
          </cell>
          <cell r="M221">
            <v>2900341</v>
          </cell>
          <cell r="N221">
            <v>2822550</v>
          </cell>
          <cell r="O221">
            <v>1561896</v>
          </cell>
          <cell r="P221">
            <v>832105</v>
          </cell>
          <cell r="Q221">
            <v>806803</v>
          </cell>
          <cell r="R221">
            <v>972186</v>
          </cell>
          <cell r="S221">
            <v>990700</v>
          </cell>
          <cell r="T221">
            <v>948420</v>
          </cell>
          <cell r="U221">
            <v>852655</v>
          </cell>
          <cell r="V221">
            <v>961763</v>
          </cell>
          <cell r="W221">
            <v>1482875</v>
          </cell>
          <cell r="X221">
            <v>1717162</v>
          </cell>
          <cell r="Y221">
            <v>2450051</v>
          </cell>
          <cell r="Z221">
            <v>2289746</v>
          </cell>
          <cell r="AA221">
            <v>1643049</v>
          </cell>
          <cell r="AB221">
            <v>946026</v>
          </cell>
          <cell r="AC221">
            <v>859330</v>
          </cell>
          <cell r="AD221">
            <v>1090945</v>
          </cell>
          <cell r="AE221">
            <v>927389</v>
          </cell>
          <cell r="AF221">
            <v>934883</v>
          </cell>
          <cell r="AG221">
            <v>817751</v>
          </cell>
          <cell r="AI221">
            <v>1482495</v>
          </cell>
        </row>
        <row r="222">
          <cell r="I222">
            <v>1214484</v>
          </cell>
          <cell r="J222">
            <v>1582138</v>
          </cell>
          <cell r="K222">
            <v>2075767</v>
          </cell>
          <cell r="L222">
            <v>2671224</v>
          </cell>
          <cell r="M222">
            <v>3003057</v>
          </cell>
          <cell r="N222">
            <v>3118814</v>
          </cell>
          <cell r="O222">
            <v>1044194</v>
          </cell>
          <cell r="P222">
            <v>612130</v>
          </cell>
          <cell r="Q222">
            <v>548034</v>
          </cell>
          <cell r="R222">
            <v>603658</v>
          </cell>
          <cell r="S222">
            <v>652455</v>
          </cell>
          <cell r="T222">
            <v>657878</v>
          </cell>
          <cell r="U222">
            <v>572266</v>
          </cell>
          <cell r="V222">
            <v>674144</v>
          </cell>
          <cell r="W222">
            <v>953955</v>
          </cell>
          <cell r="X222">
            <v>1113409</v>
          </cell>
          <cell r="Y222">
            <v>1579366</v>
          </cell>
          <cell r="Z222">
            <v>1573170</v>
          </cell>
          <cell r="AA222">
            <v>1104593</v>
          </cell>
          <cell r="AB222">
            <v>638029</v>
          </cell>
          <cell r="AC222">
            <v>564971</v>
          </cell>
          <cell r="AD222">
            <v>683679</v>
          </cell>
          <cell r="AE222">
            <v>612579</v>
          </cell>
          <cell r="AF222">
            <v>582948</v>
          </cell>
          <cell r="AG222">
            <v>542544</v>
          </cell>
          <cell r="AI222">
            <v>1582138</v>
          </cell>
        </row>
        <row r="223">
          <cell r="I223">
            <v>1177510</v>
          </cell>
          <cell r="J223">
            <v>1546394</v>
          </cell>
          <cell r="K223">
            <v>1991725</v>
          </cell>
          <cell r="L223">
            <v>2633944</v>
          </cell>
          <cell r="M223">
            <v>2915612</v>
          </cell>
          <cell r="N223">
            <v>3082510</v>
          </cell>
          <cell r="O223">
            <v>434911</v>
          </cell>
          <cell r="P223">
            <v>279748</v>
          </cell>
          <cell r="Q223">
            <v>244491</v>
          </cell>
          <cell r="R223">
            <v>270978</v>
          </cell>
          <cell r="S223">
            <v>283287</v>
          </cell>
          <cell r="T223">
            <v>308099</v>
          </cell>
          <cell r="U223">
            <v>241622</v>
          </cell>
          <cell r="V223">
            <v>238401</v>
          </cell>
          <cell r="W223">
            <v>388825</v>
          </cell>
          <cell r="X223">
            <v>425076</v>
          </cell>
          <cell r="Y223">
            <v>564987</v>
          </cell>
          <cell r="Z223">
            <v>644901</v>
          </cell>
          <cell r="AA223">
            <v>442055</v>
          </cell>
          <cell r="AB223">
            <v>264979</v>
          </cell>
          <cell r="AC223">
            <v>240039</v>
          </cell>
          <cell r="AD223">
            <v>299506</v>
          </cell>
          <cell r="AE223">
            <v>289194</v>
          </cell>
          <cell r="AF223">
            <v>262927</v>
          </cell>
          <cell r="AG223">
            <v>211179</v>
          </cell>
          <cell r="AI223">
            <v>1546394</v>
          </cell>
        </row>
        <row r="224">
          <cell r="I224">
            <v>1215686</v>
          </cell>
          <cell r="J224">
            <v>1599956</v>
          </cell>
          <cell r="K224">
            <v>2025905</v>
          </cell>
          <cell r="L224">
            <v>2670293</v>
          </cell>
          <cell r="M224">
            <v>3010562</v>
          </cell>
          <cell r="N224">
            <v>3033370</v>
          </cell>
          <cell r="O224">
            <v>1600470</v>
          </cell>
          <cell r="P224">
            <v>787294</v>
          </cell>
          <cell r="Q224">
            <v>695703</v>
          </cell>
          <cell r="R224">
            <v>796703</v>
          </cell>
          <cell r="S224">
            <v>807873</v>
          </cell>
          <cell r="T224">
            <v>863398</v>
          </cell>
          <cell r="U224">
            <v>718310</v>
          </cell>
          <cell r="V224">
            <v>738278</v>
          </cell>
          <cell r="W224">
            <v>1281957</v>
          </cell>
          <cell r="X224">
            <v>1484284</v>
          </cell>
          <cell r="Y224">
            <v>1939504</v>
          </cell>
          <cell r="Z224">
            <v>2083479</v>
          </cell>
          <cell r="AA224">
            <v>1410770</v>
          </cell>
          <cell r="AB224">
            <v>898012</v>
          </cell>
          <cell r="AC224">
            <v>741566</v>
          </cell>
          <cell r="AD224">
            <v>815416</v>
          </cell>
          <cell r="AE224">
            <v>788423</v>
          </cell>
          <cell r="AF224">
            <v>813727</v>
          </cell>
          <cell r="AG224">
            <v>652629</v>
          </cell>
          <cell r="AI224">
            <v>1599956</v>
          </cell>
        </row>
        <row r="225">
          <cell r="I225">
            <v>917532</v>
          </cell>
          <cell r="J225">
            <v>1134063</v>
          </cell>
          <cell r="K225">
            <v>1440489</v>
          </cell>
          <cell r="L225">
            <v>2112918</v>
          </cell>
          <cell r="M225">
            <v>2423809</v>
          </cell>
          <cell r="N225">
            <v>2337108</v>
          </cell>
          <cell r="O225">
            <v>1564506</v>
          </cell>
          <cell r="P225">
            <v>847831</v>
          </cell>
          <cell r="Q225">
            <v>703840</v>
          </cell>
          <cell r="R225">
            <v>817397</v>
          </cell>
          <cell r="S225">
            <v>855821</v>
          </cell>
          <cell r="T225">
            <v>876503</v>
          </cell>
          <cell r="U225">
            <v>830132</v>
          </cell>
          <cell r="V225">
            <v>727078</v>
          </cell>
          <cell r="W225">
            <v>1330764</v>
          </cell>
          <cell r="X225">
            <v>1511404</v>
          </cell>
          <cell r="Y225">
            <v>2199896</v>
          </cell>
          <cell r="Z225">
            <v>2250558</v>
          </cell>
          <cell r="AA225">
            <v>1660657</v>
          </cell>
          <cell r="AB225">
            <v>936586</v>
          </cell>
          <cell r="AC225">
            <v>842230</v>
          </cell>
          <cell r="AD225">
            <v>870602</v>
          </cell>
          <cell r="AE225">
            <v>851795</v>
          </cell>
          <cell r="AF225">
            <v>859545</v>
          </cell>
          <cell r="AG225">
            <v>721908</v>
          </cell>
          <cell r="AI225">
            <v>1134063</v>
          </cell>
        </row>
        <row r="226">
          <cell r="I226">
            <v>1129459</v>
          </cell>
          <cell r="J226">
            <v>1420544</v>
          </cell>
          <cell r="K226">
            <v>1664067</v>
          </cell>
          <cell r="L226">
            <v>2531271</v>
          </cell>
          <cell r="M226">
            <v>2905922</v>
          </cell>
          <cell r="N226">
            <v>2792320</v>
          </cell>
          <cell r="O226">
            <v>2101762</v>
          </cell>
          <cell r="P226">
            <v>449746</v>
          </cell>
          <cell r="Q226">
            <v>333209</v>
          </cell>
          <cell r="R226">
            <v>408396</v>
          </cell>
          <cell r="S226">
            <v>408044</v>
          </cell>
          <cell r="T226">
            <v>431904</v>
          </cell>
          <cell r="U226">
            <v>400826</v>
          </cell>
          <cell r="V226">
            <v>353927</v>
          </cell>
          <cell r="W226">
            <v>627325</v>
          </cell>
          <cell r="X226">
            <v>709144</v>
          </cell>
          <cell r="Y226">
            <v>980563</v>
          </cell>
          <cell r="Z226">
            <v>1079138</v>
          </cell>
          <cell r="AA226">
            <v>760575</v>
          </cell>
          <cell r="AB226">
            <v>456369</v>
          </cell>
          <cell r="AC226">
            <v>368909</v>
          </cell>
          <cell r="AD226">
            <v>445532</v>
          </cell>
          <cell r="AE226">
            <v>417258</v>
          </cell>
          <cell r="AF226">
            <v>422373</v>
          </cell>
          <cell r="AG226">
            <v>362686</v>
          </cell>
          <cell r="AI226">
            <v>1420544</v>
          </cell>
        </row>
        <row r="227">
          <cell r="I227">
            <v>1353309</v>
          </cell>
          <cell r="J227">
            <v>1762012</v>
          </cell>
          <cell r="K227">
            <v>1933390</v>
          </cell>
          <cell r="L227">
            <v>2994693</v>
          </cell>
          <cell r="M227">
            <v>3340017</v>
          </cell>
          <cell r="N227">
            <v>3565208</v>
          </cell>
          <cell r="O227">
            <v>2471921</v>
          </cell>
          <cell r="P227">
            <v>588844</v>
          </cell>
          <cell r="Q227">
            <v>431811</v>
          </cell>
          <cell r="R227">
            <v>494273</v>
          </cell>
          <cell r="S227">
            <v>489587</v>
          </cell>
          <cell r="T227">
            <v>580941</v>
          </cell>
          <cell r="U227">
            <v>457508</v>
          </cell>
          <cell r="V227">
            <v>462729</v>
          </cell>
          <cell r="W227">
            <v>747598</v>
          </cell>
          <cell r="X227">
            <v>780570</v>
          </cell>
          <cell r="Y227">
            <v>1284451</v>
          </cell>
          <cell r="Z227">
            <v>1369581</v>
          </cell>
          <cell r="AA227">
            <v>1019452</v>
          </cell>
          <cell r="AB227">
            <v>581650</v>
          </cell>
          <cell r="AC227">
            <v>490745</v>
          </cell>
          <cell r="AD227">
            <v>509029</v>
          </cell>
          <cell r="AE227">
            <v>553196</v>
          </cell>
          <cell r="AF227">
            <v>472762</v>
          </cell>
          <cell r="AG227">
            <v>434666</v>
          </cell>
          <cell r="AI227">
            <v>1762012</v>
          </cell>
        </row>
        <row r="228">
          <cell r="I228">
            <v>1051017</v>
          </cell>
          <cell r="J228">
            <v>1211374</v>
          </cell>
          <cell r="K228">
            <v>1463967</v>
          </cell>
          <cell r="L228">
            <v>2179755</v>
          </cell>
          <cell r="M228">
            <v>2435614</v>
          </cell>
          <cell r="N228">
            <v>2650724</v>
          </cell>
          <cell r="O228">
            <v>1876973</v>
          </cell>
          <cell r="P228">
            <v>753819</v>
          </cell>
          <cell r="Q228">
            <v>622159</v>
          </cell>
          <cell r="R228">
            <v>673106</v>
          </cell>
          <cell r="S228">
            <v>649636</v>
          </cell>
          <cell r="T228">
            <v>734639</v>
          </cell>
          <cell r="U228">
            <v>622146</v>
          </cell>
          <cell r="V228">
            <v>602207</v>
          </cell>
          <cell r="W228">
            <v>1010587</v>
          </cell>
          <cell r="X228">
            <v>1200584</v>
          </cell>
          <cell r="Y228">
            <v>1614441</v>
          </cell>
          <cell r="Z228">
            <v>1800550</v>
          </cell>
          <cell r="AA228">
            <v>1352358</v>
          </cell>
          <cell r="AB228">
            <v>805785</v>
          </cell>
          <cell r="AC228">
            <v>664245</v>
          </cell>
          <cell r="AD228">
            <v>665449</v>
          </cell>
          <cell r="AE228">
            <v>694108</v>
          </cell>
          <cell r="AF228">
            <v>679687</v>
          </cell>
          <cell r="AG228">
            <v>564742</v>
          </cell>
          <cell r="AI228">
            <v>1211374</v>
          </cell>
        </row>
        <row r="229">
          <cell r="I229">
            <v>1024510</v>
          </cell>
          <cell r="J229">
            <v>1164323</v>
          </cell>
          <cell r="K229">
            <v>1437830</v>
          </cell>
          <cell r="L229">
            <v>2099092</v>
          </cell>
          <cell r="M229">
            <v>2323549</v>
          </cell>
          <cell r="N229">
            <v>2561661</v>
          </cell>
          <cell r="O229">
            <v>1819559</v>
          </cell>
          <cell r="P229">
            <v>751829</v>
          </cell>
          <cell r="Q229">
            <v>623930</v>
          </cell>
          <cell r="R229">
            <v>657095</v>
          </cell>
          <cell r="S229">
            <v>621867</v>
          </cell>
          <cell r="T229">
            <v>731964</v>
          </cell>
          <cell r="U229">
            <v>644001</v>
          </cell>
          <cell r="V229">
            <v>591551</v>
          </cell>
          <cell r="W229">
            <v>968565</v>
          </cell>
          <cell r="X229">
            <v>1139437</v>
          </cell>
          <cell r="Y229">
            <v>1503652</v>
          </cell>
          <cell r="Z229">
            <v>1793839</v>
          </cell>
          <cell r="AA229">
            <v>1307191</v>
          </cell>
          <cell r="AB229">
            <v>834335</v>
          </cell>
          <cell r="AC229">
            <v>665644</v>
          </cell>
          <cell r="AD229">
            <v>694455</v>
          </cell>
          <cell r="AE229">
            <v>672435</v>
          </cell>
          <cell r="AF229">
            <v>714057</v>
          </cell>
          <cell r="AG229">
            <v>606062</v>
          </cell>
          <cell r="AI229">
            <v>1164323</v>
          </cell>
        </row>
        <row r="230">
          <cell r="I230">
            <v>1285590</v>
          </cell>
          <cell r="J230">
            <v>1509095</v>
          </cell>
          <cell r="K230">
            <v>1662064</v>
          </cell>
          <cell r="L230">
            <v>2748352</v>
          </cell>
          <cell r="M230">
            <v>3006597</v>
          </cell>
          <cell r="N230">
            <v>3151260</v>
          </cell>
          <cell r="O230">
            <v>2631157</v>
          </cell>
          <cell r="P230">
            <v>637329</v>
          </cell>
          <cell r="Q230">
            <v>521449</v>
          </cell>
          <cell r="R230">
            <v>581662</v>
          </cell>
          <cell r="S230">
            <v>540497</v>
          </cell>
          <cell r="T230">
            <v>594071</v>
          </cell>
          <cell r="U230">
            <v>544785</v>
          </cell>
          <cell r="V230">
            <v>512354</v>
          </cell>
          <cell r="W230">
            <v>807083</v>
          </cell>
          <cell r="X230">
            <v>925761</v>
          </cell>
          <cell r="Y230">
            <v>1247022</v>
          </cell>
          <cell r="Z230">
            <v>1500182</v>
          </cell>
          <cell r="AA230">
            <v>1133187</v>
          </cell>
          <cell r="AB230">
            <v>656989</v>
          </cell>
          <cell r="AC230">
            <v>587404</v>
          </cell>
          <cell r="AD230">
            <v>541820</v>
          </cell>
          <cell r="AE230">
            <v>571638</v>
          </cell>
          <cell r="AF230">
            <v>628164</v>
          </cell>
          <cell r="AG230">
            <v>509984</v>
          </cell>
          <cell r="AI230">
            <v>1509095</v>
          </cell>
        </row>
        <row r="231">
          <cell r="I231">
            <v>671335</v>
          </cell>
          <cell r="J231">
            <v>742844</v>
          </cell>
          <cell r="K231">
            <v>771650</v>
          </cell>
          <cell r="L231">
            <v>1277239</v>
          </cell>
          <cell r="M231">
            <v>1373258</v>
          </cell>
          <cell r="N231">
            <v>1489155</v>
          </cell>
          <cell r="O231">
            <v>1300261</v>
          </cell>
          <cell r="P231">
            <v>200924</v>
          </cell>
          <cell r="Q231">
            <v>166528</v>
          </cell>
          <cell r="R231">
            <v>172765</v>
          </cell>
          <cell r="S231">
            <v>179410</v>
          </cell>
          <cell r="T231">
            <v>188900</v>
          </cell>
          <cell r="U231">
            <v>179477</v>
          </cell>
          <cell r="V231">
            <v>152314</v>
          </cell>
          <cell r="W231">
            <v>226058</v>
          </cell>
          <cell r="X231">
            <v>285472</v>
          </cell>
          <cell r="Y231">
            <v>389854</v>
          </cell>
          <cell r="Z231">
            <v>466580</v>
          </cell>
          <cell r="AA231">
            <v>345506</v>
          </cell>
          <cell r="AB231">
            <v>203759</v>
          </cell>
          <cell r="AC231">
            <v>169061</v>
          </cell>
          <cell r="AD231">
            <v>167643</v>
          </cell>
          <cell r="AE231">
            <v>179602</v>
          </cell>
          <cell r="AF231">
            <v>176876</v>
          </cell>
          <cell r="AG231">
            <v>156816</v>
          </cell>
          <cell r="AI231">
            <v>742844</v>
          </cell>
        </row>
        <row r="232">
          <cell r="I232">
            <v>1118497</v>
          </cell>
          <cell r="J232">
            <v>1242176</v>
          </cell>
          <cell r="K232">
            <v>1370721</v>
          </cell>
          <cell r="L232">
            <v>2188704</v>
          </cell>
          <cell r="M232">
            <v>2308396</v>
          </cell>
          <cell r="N232">
            <v>2628603</v>
          </cell>
          <cell r="O232">
            <v>2449012</v>
          </cell>
          <cell r="P232">
            <v>675849</v>
          </cell>
          <cell r="Q232">
            <v>549785</v>
          </cell>
          <cell r="R232">
            <v>589738</v>
          </cell>
          <cell r="S232">
            <v>585808</v>
          </cell>
          <cell r="T232">
            <v>672941</v>
          </cell>
          <cell r="U232">
            <v>581082</v>
          </cell>
          <cell r="V232">
            <v>565069</v>
          </cell>
          <cell r="W232">
            <v>759698</v>
          </cell>
          <cell r="X232">
            <v>968152</v>
          </cell>
          <cell r="Y232">
            <v>1336555</v>
          </cell>
          <cell r="Z232">
            <v>1407589</v>
          </cell>
          <cell r="AA232">
            <v>1360526</v>
          </cell>
          <cell r="AB232">
            <v>681351</v>
          </cell>
          <cell r="AC232">
            <v>583768</v>
          </cell>
          <cell r="AD232">
            <v>603785</v>
          </cell>
          <cell r="AE232">
            <v>639317</v>
          </cell>
          <cell r="AF232">
            <v>606688</v>
          </cell>
          <cell r="AG232">
            <v>551232</v>
          </cell>
          <cell r="AI232">
            <v>1242176</v>
          </cell>
        </row>
        <row r="233">
          <cell r="I233">
            <v>734353</v>
          </cell>
          <cell r="J233">
            <v>742864</v>
          </cell>
          <cell r="K233">
            <v>855099</v>
          </cell>
          <cell r="L233">
            <v>1331453</v>
          </cell>
          <cell r="M233">
            <v>1378643</v>
          </cell>
          <cell r="N233">
            <v>1575753</v>
          </cell>
          <cell r="O233">
            <v>1532758</v>
          </cell>
          <cell r="P233">
            <v>181597</v>
          </cell>
          <cell r="Q233">
            <v>164116</v>
          </cell>
          <cell r="R233">
            <v>167202</v>
          </cell>
          <cell r="S233">
            <v>174744</v>
          </cell>
          <cell r="T233">
            <v>193949</v>
          </cell>
          <cell r="U233">
            <v>179719</v>
          </cell>
          <cell r="V233">
            <v>167516</v>
          </cell>
          <cell r="W233">
            <v>188646</v>
          </cell>
          <cell r="X233">
            <v>245575</v>
          </cell>
          <cell r="Y233">
            <v>355109</v>
          </cell>
          <cell r="Z233">
            <v>400596</v>
          </cell>
          <cell r="AA233">
            <v>371582</v>
          </cell>
          <cell r="AB233">
            <v>189734</v>
          </cell>
          <cell r="AC233">
            <v>159303</v>
          </cell>
          <cell r="AD233">
            <v>165456</v>
          </cell>
          <cell r="AE233">
            <v>192755</v>
          </cell>
          <cell r="AF233">
            <v>182600</v>
          </cell>
          <cell r="AG233">
            <v>147652</v>
          </cell>
          <cell r="AI233">
            <v>742864</v>
          </cell>
        </row>
        <row r="234">
          <cell r="I234">
            <v>1257339</v>
          </cell>
          <cell r="J234">
            <v>1201636</v>
          </cell>
          <cell r="K234">
            <v>1277132</v>
          </cell>
          <cell r="L234">
            <v>2345632</v>
          </cell>
          <cell r="M234">
            <v>2372373</v>
          </cell>
          <cell r="N234">
            <v>2342256</v>
          </cell>
          <cell r="O234">
            <v>2808763</v>
          </cell>
          <cell r="P234">
            <v>701980</v>
          </cell>
          <cell r="Q234">
            <v>501000</v>
          </cell>
          <cell r="R234">
            <v>571577</v>
          </cell>
          <cell r="S234">
            <v>540695</v>
          </cell>
          <cell r="T234">
            <v>617581</v>
          </cell>
          <cell r="U234">
            <v>556959</v>
          </cell>
          <cell r="V234">
            <v>499376</v>
          </cell>
          <cell r="W234">
            <v>673708</v>
          </cell>
          <cell r="X234">
            <v>855361</v>
          </cell>
          <cell r="Y234">
            <v>1169676</v>
          </cell>
          <cell r="Z234">
            <v>1359452</v>
          </cell>
          <cell r="AA234">
            <v>1312393</v>
          </cell>
          <cell r="AB234">
            <v>684160</v>
          </cell>
          <cell r="AC234">
            <v>547174</v>
          </cell>
          <cell r="AD234">
            <v>500896</v>
          </cell>
          <cell r="AE234">
            <v>587167</v>
          </cell>
          <cell r="AF234">
            <v>607097</v>
          </cell>
          <cell r="AG234">
            <v>478882</v>
          </cell>
          <cell r="AI234">
            <v>1201636</v>
          </cell>
        </row>
        <row r="235">
          <cell r="I235">
            <v>1147159</v>
          </cell>
          <cell r="J235">
            <v>1085667</v>
          </cell>
          <cell r="K235">
            <v>1320958</v>
          </cell>
          <cell r="L235">
            <v>2452605</v>
          </cell>
          <cell r="M235">
            <v>2449001</v>
          </cell>
          <cell r="N235">
            <v>2648465</v>
          </cell>
          <cell r="O235">
            <v>2938104</v>
          </cell>
          <cell r="P235">
            <v>1127369</v>
          </cell>
          <cell r="Q235">
            <v>720929</v>
          </cell>
          <cell r="R235">
            <v>732905</v>
          </cell>
          <cell r="S235">
            <v>839916</v>
          </cell>
          <cell r="T235">
            <v>830711</v>
          </cell>
          <cell r="U235">
            <v>799463</v>
          </cell>
          <cell r="V235">
            <v>731235</v>
          </cell>
          <cell r="W235">
            <v>998633</v>
          </cell>
          <cell r="X235">
            <v>1255376</v>
          </cell>
          <cell r="Y235">
            <v>1887384</v>
          </cell>
          <cell r="Z235">
            <v>2123348</v>
          </cell>
          <cell r="AA235">
            <v>2177206</v>
          </cell>
          <cell r="AB235">
            <v>1076392</v>
          </cell>
          <cell r="AC235">
            <v>843553</v>
          </cell>
          <cell r="AD235">
            <v>764991</v>
          </cell>
          <cell r="AE235">
            <v>858862</v>
          </cell>
          <cell r="AF235">
            <v>854777</v>
          </cell>
          <cell r="AG235">
            <v>716992</v>
          </cell>
          <cell r="AI235">
            <v>1085667</v>
          </cell>
        </row>
        <row r="236">
          <cell r="I236">
            <v>1958575</v>
          </cell>
          <cell r="J236">
            <v>2045367</v>
          </cell>
          <cell r="K236">
            <v>2323682</v>
          </cell>
          <cell r="L236">
            <v>3879658</v>
          </cell>
          <cell r="M236">
            <v>4016068</v>
          </cell>
          <cell r="N236">
            <v>4158498</v>
          </cell>
          <cell r="O236">
            <v>4857819</v>
          </cell>
          <cell r="P236">
            <v>1986398</v>
          </cell>
          <cell r="Q236">
            <v>1310480</v>
          </cell>
          <cell r="R236">
            <v>1207248</v>
          </cell>
          <cell r="S236">
            <v>1450625</v>
          </cell>
          <cell r="T236">
            <v>1524384</v>
          </cell>
          <cell r="U236">
            <v>1357298</v>
          </cell>
          <cell r="V236">
            <v>1358761</v>
          </cell>
          <cell r="W236">
            <v>1666474</v>
          </cell>
          <cell r="X236">
            <v>2134563</v>
          </cell>
          <cell r="Y236">
            <v>2960603</v>
          </cell>
          <cell r="Z236">
            <v>3310612</v>
          </cell>
          <cell r="AA236">
            <v>3500156</v>
          </cell>
          <cell r="AB236">
            <v>1873009</v>
          </cell>
          <cell r="AC236">
            <v>1469007</v>
          </cell>
          <cell r="AD236">
            <v>1323049</v>
          </cell>
          <cell r="AE236">
            <v>1498896</v>
          </cell>
          <cell r="AF236">
            <v>1475919</v>
          </cell>
          <cell r="AG236">
            <v>1243016</v>
          </cell>
          <cell r="AI236">
            <v>2045367</v>
          </cell>
        </row>
        <row r="238"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-404</v>
          </cell>
          <cell r="N238">
            <v>0</v>
          </cell>
          <cell r="O238">
            <v>209633</v>
          </cell>
          <cell r="P238">
            <v>132279</v>
          </cell>
          <cell r="Q238">
            <v>131303</v>
          </cell>
          <cell r="R238">
            <v>134353</v>
          </cell>
          <cell r="S238">
            <v>167023</v>
          </cell>
          <cell r="T238">
            <v>137090</v>
          </cell>
          <cell r="U238">
            <v>130842</v>
          </cell>
          <cell r="V238">
            <v>171307</v>
          </cell>
          <cell r="W238">
            <v>186642</v>
          </cell>
          <cell r="X238">
            <v>257743</v>
          </cell>
          <cell r="Y238">
            <v>338154</v>
          </cell>
          <cell r="Z238">
            <v>328819</v>
          </cell>
          <cell r="AA238">
            <v>204325</v>
          </cell>
          <cell r="AB238">
            <v>144218</v>
          </cell>
          <cell r="AC238">
            <v>122328</v>
          </cell>
          <cell r="AD238">
            <v>161918</v>
          </cell>
          <cell r="AE238">
            <v>142569</v>
          </cell>
          <cell r="AF238">
            <v>128133</v>
          </cell>
          <cell r="AG238">
            <v>118228</v>
          </cell>
          <cell r="AI238">
            <v>0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-1353</v>
          </cell>
          <cell r="O239">
            <v>803778</v>
          </cell>
          <cell r="P239">
            <v>503303</v>
          </cell>
          <cell r="Q239">
            <v>481911</v>
          </cell>
          <cell r="R239">
            <v>509198</v>
          </cell>
          <cell r="S239">
            <v>594678</v>
          </cell>
          <cell r="T239">
            <v>547319</v>
          </cell>
          <cell r="U239">
            <v>520278</v>
          </cell>
          <cell r="V239">
            <v>656027</v>
          </cell>
          <cell r="W239">
            <v>827583</v>
          </cell>
          <cell r="X239">
            <v>1071913</v>
          </cell>
          <cell r="Y239">
            <v>1313740</v>
          </cell>
          <cell r="Z239">
            <v>1333192</v>
          </cell>
          <cell r="AA239">
            <v>881053</v>
          </cell>
          <cell r="AB239">
            <v>593396</v>
          </cell>
          <cell r="AC239">
            <v>471072</v>
          </cell>
          <cell r="AD239">
            <v>615079</v>
          </cell>
          <cell r="AE239">
            <v>605100</v>
          </cell>
          <cell r="AF239">
            <v>468751</v>
          </cell>
          <cell r="AG239">
            <v>485552</v>
          </cell>
          <cell r="AI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-195</v>
          </cell>
          <cell r="N240">
            <v>-1373</v>
          </cell>
          <cell r="O240">
            <v>998674</v>
          </cell>
          <cell r="P240">
            <v>592397</v>
          </cell>
          <cell r="Q240">
            <v>588859</v>
          </cell>
          <cell r="R240">
            <v>659974</v>
          </cell>
          <cell r="S240">
            <v>697979</v>
          </cell>
          <cell r="T240">
            <v>657345</v>
          </cell>
          <cell r="U240">
            <v>605196</v>
          </cell>
          <cell r="V240">
            <v>727039</v>
          </cell>
          <cell r="W240">
            <v>991778</v>
          </cell>
          <cell r="X240">
            <v>1188482</v>
          </cell>
          <cell r="Y240">
            <v>1508441</v>
          </cell>
          <cell r="Z240">
            <v>1494803</v>
          </cell>
          <cell r="AA240">
            <v>1004000</v>
          </cell>
          <cell r="AB240">
            <v>684521</v>
          </cell>
          <cell r="AC240">
            <v>591344</v>
          </cell>
          <cell r="AD240">
            <v>716122</v>
          </cell>
          <cell r="AE240">
            <v>667548</v>
          </cell>
          <cell r="AF240">
            <v>620985</v>
          </cell>
          <cell r="AG240">
            <v>569637</v>
          </cell>
          <cell r="AI240">
            <v>0</v>
          </cell>
        </row>
        <row r="241">
          <cell r="I241">
            <v>0</v>
          </cell>
          <cell r="J241">
            <v>-1979</v>
          </cell>
          <cell r="K241">
            <v>0</v>
          </cell>
          <cell r="L241">
            <v>0</v>
          </cell>
          <cell r="M241">
            <v>0</v>
          </cell>
          <cell r="N241">
            <v>-1492</v>
          </cell>
          <cell r="O241">
            <v>1244336</v>
          </cell>
          <cell r="P241">
            <v>705916</v>
          </cell>
          <cell r="Q241">
            <v>707193</v>
          </cell>
          <cell r="R241">
            <v>776802</v>
          </cell>
          <cell r="S241">
            <v>834366</v>
          </cell>
          <cell r="T241">
            <v>854572</v>
          </cell>
          <cell r="U241">
            <v>748003</v>
          </cell>
          <cell r="V241">
            <v>835937</v>
          </cell>
          <cell r="W241">
            <v>1248060</v>
          </cell>
          <cell r="X241">
            <v>1476275</v>
          </cell>
          <cell r="Y241">
            <v>1970133</v>
          </cell>
          <cell r="Z241">
            <v>1851370</v>
          </cell>
          <cell r="AA241">
            <v>1248265</v>
          </cell>
          <cell r="AB241">
            <v>835100</v>
          </cell>
          <cell r="AC241">
            <v>743577</v>
          </cell>
          <cell r="AD241">
            <v>863903</v>
          </cell>
          <cell r="AE241">
            <v>791955</v>
          </cell>
          <cell r="AF241">
            <v>747098</v>
          </cell>
          <cell r="AG241">
            <v>712571</v>
          </cell>
          <cell r="AI241">
            <v>-1979</v>
          </cell>
        </row>
        <row r="242"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483629</v>
          </cell>
          <cell r="P242">
            <v>286728</v>
          </cell>
          <cell r="Q242">
            <v>289906</v>
          </cell>
          <cell r="R242">
            <v>326341</v>
          </cell>
          <cell r="S242">
            <v>344701</v>
          </cell>
          <cell r="T242">
            <v>327827</v>
          </cell>
          <cell r="U242">
            <v>307067</v>
          </cell>
          <cell r="V242">
            <v>342634</v>
          </cell>
          <cell r="W242">
            <v>495271</v>
          </cell>
          <cell r="X242">
            <v>554729</v>
          </cell>
          <cell r="Y242">
            <v>692389</v>
          </cell>
          <cell r="Z242">
            <v>778146</v>
          </cell>
          <cell r="AA242">
            <v>513869</v>
          </cell>
          <cell r="AB242">
            <v>312656</v>
          </cell>
          <cell r="AC242">
            <v>311013</v>
          </cell>
          <cell r="AD242">
            <v>372463</v>
          </cell>
          <cell r="AE242">
            <v>336494</v>
          </cell>
          <cell r="AF242">
            <v>318771</v>
          </cell>
          <cell r="AG242">
            <v>277631</v>
          </cell>
          <cell r="AI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-14</v>
          </cell>
          <cell r="O243">
            <v>1124880</v>
          </cell>
          <cell r="P243">
            <v>683277</v>
          </cell>
          <cell r="Q243">
            <v>661011</v>
          </cell>
          <cell r="R243">
            <v>735148</v>
          </cell>
          <cell r="S243">
            <v>800367</v>
          </cell>
          <cell r="T243">
            <v>810577</v>
          </cell>
          <cell r="U243">
            <v>695938</v>
          </cell>
          <cell r="V243">
            <v>740657</v>
          </cell>
          <cell r="W243">
            <v>1100162</v>
          </cell>
          <cell r="X243">
            <v>1291649</v>
          </cell>
          <cell r="Y243">
            <v>1668965</v>
          </cell>
          <cell r="Z243">
            <v>1748177</v>
          </cell>
          <cell r="AA243">
            <v>1224185</v>
          </cell>
          <cell r="AB243">
            <v>743224</v>
          </cell>
          <cell r="AC243">
            <v>657769</v>
          </cell>
          <cell r="AD243">
            <v>848856</v>
          </cell>
          <cell r="AE243">
            <v>775547</v>
          </cell>
          <cell r="AF243">
            <v>727551</v>
          </cell>
          <cell r="AG243">
            <v>637911</v>
          </cell>
          <cell r="AI243">
            <v>0</v>
          </cell>
        </row>
        <row r="244"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-2830</v>
          </cell>
          <cell r="N244">
            <v>0</v>
          </cell>
          <cell r="O244">
            <v>1665636</v>
          </cell>
          <cell r="P244">
            <v>1018243</v>
          </cell>
          <cell r="Q244">
            <v>909469</v>
          </cell>
          <cell r="R244">
            <v>1028572</v>
          </cell>
          <cell r="S244">
            <v>1049545</v>
          </cell>
          <cell r="T244">
            <v>1147036</v>
          </cell>
          <cell r="U244">
            <v>925282</v>
          </cell>
          <cell r="V244">
            <v>1008736</v>
          </cell>
          <cell r="W244">
            <v>1723836</v>
          </cell>
          <cell r="X244">
            <v>1874176</v>
          </cell>
          <cell r="Y244">
            <v>2467096</v>
          </cell>
          <cell r="Z244">
            <v>2654869</v>
          </cell>
          <cell r="AA244">
            <v>1909572</v>
          </cell>
          <cell r="AB244">
            <v>1102564</v>
          </cell>
          <cell r="AC244">
            <v>964900</v>
          </cell>
          <cell r="AD244">
            <v>1086431</v>
          </cell>
          <cell r="AE244">
            <v>1052381</v>
          </cell>
          <cell r="AF244">
            <v>1003492</v>
          </cell>
          <cell r="AG244">
            <v>915420</v>
          </cell>
          <cell r="AI244">
            <v>0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-3402</v>
          </cell>
          <cell r="O245">
            <v>581796</v>
          </cell>
          <cell r="P245">
            <v>513974</v>
          </cell>
          <cell r="Q245">
            <v>502267</v>
          </cell>
          <cell r="R245">
            <v>539853</v>
          </cell>
          <cell r="S245">
            <v>561560</v>
          </cell>
          <cell r="T245">
            <v>608768</v>
          </cell>
          <cell r="U245">
            <v>509735</v>
          </cell>
          <cell r="V245">
            <v>545485</v>
          </cell>
          <cell r="W245">
            <v>830535</v>
          </cell>
          <cell r="X245">
            <v>931934</v>
          </cell>
          <cell r="Y245">
            <v>1215789</v>
          </cell>
          <cell r="Z245">
            <v>1408111</v>
          </cell>
          <cell r="AA245">
            <v>945975</v>
          </cell>
          <cell r="AB245">
            <v>607068</v>
          </cell>
          <cell r="AC245">
            <v>530191</v>
          </cell>
          <cell r="AD245">
            <v>577271</v>
          </cell>
          <cell r="AE245">
            <v>562609</v>
          </cell>
          <cell r="AF245">
            <v>573381</v>
          </cell>
          <cell r="AG245">
            <v>474704</v>
          </cell>
          <cell r="AI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154734</v>
          </cell>
          <cell r="P246">
            <v>159447</v>
          </cell>
          <cell r="Q246">
            <v>138055</v>
          </cell>
          <cell r="R246">
            <v>139775</v>
          </cell>
          <cell r="S246">
            <v>147450</v>
          </cell>
          <cell r="T246">
            <v>161349</v>
          </cell>
          <cell r="U246">
            <v>142278</v>
          </cell>
          <cell r="V246">
            <v>143256</v>
          </cell>
          <cell r="W246">
            <v>241660</v>
          </cell>
          <cell r="X246">
            <v>287703</v>
          </cell>
          <cell r="Y246">
            <v>373956</v>
          </cell>
          <cell r="Z246">
            <v>441581</v>
          </cell>
          <cell r="AA246">
            <v>298179</v>
          </cell>
          <cell r="AB246">
            <v>178625</v>
          </cell>
          <cell r="AC246">
            <v>141587</v>
          </cell>
          <cell r="AD246">
            <v>152533</v>
          </cell>
          <cell r="AE246">
            <v>152153</v>
          </cell>
          <cell r="AF246">
            <v>157532</v>
          </cell>
          <cell r="AG246">
            <v>128205</v>
          </cell>
          <cell r="AI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-1163</v>
          </cell>
          <cell r="M247">
            <v>0</v>
          </cell>
          <cell r="N247">
            <v>8</v>
          </cell>
          <cell r="O247">
            <v>186</v>
          </cell>
          <cell r="P247">
            <v>900948</v>
          </cell>
          <cell r="Q247">
            <v>690718</v>
          </cell>
          <cell r="R247">
            <v>779693</v>
          </cell>
          <cell r="S247">
            <v>795600</v>
          </cell>
          <cell r="T247">
            <v>822699</v>
          </cell>
          <cell r="U247">
            <v>771305</v>
          </cell>
          <cell r="V247">
            <v>724234</v>
          </cell>
          <cell r="W247">
            <v>1271090</v>
          </cell>
          <cell r="X247">
            <v>1523616</v>
          </cell>
          <cell r="Y247">
            <v>2024316</v>
          </cell>
          <cell r="Z247">
            <v>2127418</v>
          </cell>
          <cell r="AA247">
            <v>1620248</v>
          </cell>
          <cell r="AB247">
            <v>927628</v>
          </cell>
          <cell r="AC247">
            <v>760970</v>
          </cell>
          <cell r="AD247">
            <v>835909</v>
          </cell>
          <cell r="AE247">
            <v>778756</v>
          </cell>
          <cell r="AF247">
            <v>790631</v>
          </cell>
          <cell r="AG247">
            <v>682962</v>
          </cell>
          <cell r="AI247">
            <v>0</v>
          </cell>
        </row>
        <row r="248"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-942</v>
          </cell>
          <cell r="O248">
            <v>2402</v>
          </cell>
          <cell r="P248">
            <v>1072278</v>
          </cell>
          <cell r="Q248">
            <v>874411</v>
          </cell>
          <cell r="R248">
            <v>906646</v>
          </cell>
          <cell r="S248">
            <v>845397</v>
          </cell>
          <cell r="T248">
            <v>1050930</v>
          </cell>
          <cell r="U248">
            <v>886520</v>
          </cell>
          <cell r="V248">
            <v>866384</v>
          </cell>
          <cell r="W248">
            <v>1446697</v>
          </cell>
          <cell r="X248">
            <v>1691371</v>
          </cell>
          <cell r="Y248">
            <v>2337802</v>
          </cell>
          <cell r="Z248">
            <v>2523007</v>
          </cell>
          <cell r="AA248">
            <v>1890485</v>
          </cell>
          <cell r="AB248">
            <v>1112368</v>
          </cell>
          <cell r="AC248">
            <v>886223</v>
          </cell>
          <cell r="AD248">
            <v>957786</v>
          </cell>
          <cell r="AE248">
            <v>986788</v>
          </cell>
          <cell r="AF248">
            <v>916866</v>
          </cell>
          <cell r="AG248">
            <v>852011</v>
          </cell>
          <cell r="AI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  <cell r="L249">
            <v>-11</v>
          </cell>
          <cell r="M249">
            <v>22</v>
          </cell>
          <cell r="N249">
            <v>0</v>
          </cell>
          <cell r="O249">
            <v>531</v>
          </cell>
          <cell r="P249">
            <v>483025</v>
          </cell>
          <cell r="Q249">
            <v>378885</v>
          </cell>
          <cell r="R249">
            <v>403581</v>
          </cell>
          <cell r="S249">
            <v>416523</v>
          </cell>
          <cell r="T249">
            <v>431265</v>
          </cell>
          <cell r="U249">
            <v>392214</v>
          </cell>
          <cell r="V249">
            <v>396809</v>
          </cell>
          <cell r="W249">
            <v>600579</v>
          </cell>
          <cell r="X249">
            <v>710612</v>
          </cell>
          <cell r="Y249">
            <v>983503</v>
          </cell>
          <cell r="Z249">
            <v>1169821</v>
          </cell>
          <cell r="AA249">
            <v>778324</v>
          </cell>
          <cell r="AB249">
            <v>493481</v>
          </cell>
          <cell r="AC249">
            <v>405142</v>
          </cell>
          <cell r="AD249">
            <v>419560</v>
          </cell>
          <cell r="AE249">
            <v>424662</v>
          </cell>
          <cell r="AF249">
            <v>404581</v>
          </cell>
          <cell r="AG249">
            <v>358744</v>
          </cell>
          <cell r="AI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-823</v>
          </cell>
          <cell r="O250">
            <v>1132</v>
          </cell>
          <cell r="P250">
            <v>455976</v>
          </cell>
          <cell r="Q250">
            <v>422243</v>
          </cell>
          <cell r="R250">
            <v>401800</v>
          </cell>
          <cell r="S250">
            <v>396140</v>
          </cell>
          <cell r="T250">
            <v>447110</v>
          </cell>
          <cell r="U250">
            <v>391814</v>
          </cell>
          <cell r="V250">
            <v>394980</v>
          </cell>
          <cell r="W250">
            <v>588653</v>
          </cell>
          <cell r="X250">
            <v>697330</v>
          </cell>
          <cell r="Y250">
            <v>919330</v>
          </cell>
          <cell r="Z250">
            <v>1088506</v>
          </cell>
          <cell r="AA250">
            <v>730587</v>
          </cell>
          <cell r="AB250">
            <v>493012</v>
          </cell>
          <cell r="AC250">
            <v>383769</v>
          </cell>
          <cell r="AD250">
            <v>400794</v>
          </cell>
          <cell r="AE250">
            <v>409650</v>
          </cell>
          <cell r="AF250">
            <v>393088</v>
          </cell>
          <cell r="AG250">
            <v>355904</v>
          </cell>
          <cell r="AI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38</v>
          </cell>
          <cell r="O251">
            <v>0</v>
          </cell>
          <cell r="P251">
            <v>865781</v>
          </cell>
          <cell r="Q251">
            <v>720267</v>
          </cell>
          <cell r="R251">
            <v>776581</v>
          </cell>
          <cell r="S251">
            <v>722006</v>
          </cell>
          <cell r="T251">
            <v>787999</v>
          </cell>
          <cell r="U251">
            <v>738616</v>
          </cell>
          <cell r="V251">
            <v>668770</v>
          </cell>
          <cell r="W251">
            <v>1137339</v>
          </cell>
          <cell r="X251">
            <v>1379993</v>
          </cell>
          <cell r="Y251">
            <v>1886364</v>
          </cell>
          <cell r="Z251">
            <v>2170827</v>
          </cell>
          <cell r="AA251">
            <v>1688725</v>
          </cell>
          <cell r="AB251">
            <v>938500</v>
          </cell>
          <cell r="AC251">
            <v>818107</v>
          </cell>
          <cell r="AD251">
            <v>748951</v>
          </cell>
          <cell r="AE251">
            <v>773452</v>
          </cell>
          <cell r="AF251">
            <v>789824</v>
          </cell>
          <cell r="AG251">
            <v>684132</v>
          </cell>
          <cell r="AI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-1</v>
          </cell>
          <cell r="N252">
            <v>-890</v>
          </cell>
          <cell r="O252">
            <v>561</v>
          </cell>
          <cell r="P252">
            <v>550470</v>
          </cell>
          <cell r="Q252">
            <v>460406</v>
          </cell>
          <cell r="R252">
            <v>496786</v>
          </cell>
          <cell r="S252">
            <v>505756</v>
          </cell>
          <cell r="T252">
            <v>514854</v>
          </cell>
          <cell r="U252">
            <v>517004</v>
          </cell>
          <cell r="V252">
            <v>435360</v>
          </cell>
          <cell r="W252">
            <v>634854</v>
          </cell>
          <cell r="X252">
            <v>810370</v>
          </cell>
          <cell r="Y252">
            <v>1063144</v>
          </cell>
          <cell r="Z252">
            <v>1271552</v>
          </cell>
          <cell r="AA252">
            <v>943795</v>
          </cell>
          <cell r="AB252">
            <v>588207</v>
          </cell>
          <cell r="AC252">
            <v>493896</v>
          </cell>
          <cell r="AD252">
            <v>501953</v>
          </cell>
          <cell r="AE252">
            <v>532526</v>
          </cell>
          <cell r="AF252">
            <v>527901</v>
          </cell>
          <cell r="AG252">
            <v>455624</v>
          </cell>
          <cell r="AI252">
            <v>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-799</v>
          </cell>
          <cell r="N253">
            <v>0</v>
          </cell>
          <cell r="O253">
            <v>2472</v>
          </cell>
          <cell r="P253">
            <v>649995</v>
          </cell>
          <cell r="Q253">
            <v>523254</v>
          </cell>
          <cell r="R253">
            <v>560249</v>
          </cell>
          <cell r="S253">
            <v>566867</v>
          </cell>
          <cell r="T253">
            <v>605919</v>
          </cell>
          <cell r="U253">
            <v>564094</v>
          </cell>
          <cell r="V253">
            <v>538194</v>
          </cell>
          <cell r="W253">
            <v>729078</v>
          </cell>
          <cell r="X253">
            <v>949347</v>
          </cell>
          <cell r="Y253">
            <v>1278292</v>
          </cell>
          <cell r="Z253">
            <v>1435009</v>
          </cell>
          <cell r="AA253">
            <v>1254071</v>
          </cell>
          <cell r="AB253">
            <v>710157</v>
          </cell>
          <cell r="AC253">
            <v>586552</v>
          </cell>
          <cell r="AD253">
            <v>580217</v>
          </cell>
          <cell r="AE253">
            <v>625860</v>
          </cell>
          <cell r="AF253">
            <v>611319</v>
          </cell>
          <cell r="AG253">
            <v>513989</v>
          </cell>
          <cell r="AI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-5897</v>
          </cell>
          <cell r="N254">
            <v>-3375</v>
          </cell>
          <cell r="O254">
            <v>-1229</v>
          </cell>
          <cell r="P254">
            <v>624745</v>
          </cell>
          <cell r="Q254">
            <v>517452</v>
          </cell>
          <cell r="R254">
            <v>524695</v>
          </cell>
          <cell r="S254">
            <v>534446</v>
          </cell>
          <cell r="T254">
            <v>617033</v>
          </cell>
          <cell r="U254">
            <v>494797</v>
          </cell>
          <cell r="V254">
            <v>526894</v>
          </cell>
          <cell r="W254">
            <v>685500</v>
          </cell>
          <cell r="X254">
            <v>872529</v>
          </cell>
          <cell r="Y254">
            <v>1191667</v>
          </cell>
          <cell r="Z254">
            <v>1336228</v>
          </cell>
          <cell r="AA254">
            <v>1264505</v>
          </cell>
          <cell r="AB254">
            <v>667833</v>
          </cell>
          <cell r="AC254">
            <v>584662</v>
          </cell>
          <cell r="AD254">
            <v>509606</v>
          </cell>
          <cell r="AE254">
            <v>601733</v>
          </cell>
          <cell r="AF254">
            <v>589553</v>
          </cell>
          <cell r="AG254">
            <v>490864</v>
          </cell>
          <cell r="AI254">
            <v>0</v>
          </cell>
        </row>
        <row r="255">
          <cell r="I255">
            <v>0</v>
          </cell>
          <cell r="J255">
            <v>58</v>
          </cell>
          <cell r="K255">
            <v>62</v>
          </cell>
          <cell r="L255">
            <v>72</v>
          </cell>
          <cell r="M255">
            <v>0</v>
          </cell>
          <cell r="N255">
            <v>0</v>
          </cell>
          <cell r="O255">
            <v>-3061</v>
          </cell>
          <cell r="P255">
            <v>819928</v>
          </cell>
          <cell r="Q255">
            <v>610156</v>
          </cell>
          <cell r="R255">
            <v>667943</v>
          </cell>
          <cell r="S255">
            <v>662160</v>
          </cell>
          <cell r="T255">
            <v>720061</v>
          </cell>
          <cell r="U255">
            <v>704140</v>
          </cell>
          <cell r="V255">
            <v>633068</v>
          </cell>
          <cell r="W255">
            <v>812041</v>
          </cell>
          <cell r="X255">
            <v>1022334</v>
          </cell>
          <cell r="Y255">
            <v>1367148</v>
          </cell>
          <cell r="Z255">
            <v>1527867</v>
          </cell>
          <cell r="AA255">
            <v>1538871</v>
          </cell>
          <cell r="AB255">
            <v>859542</v>
          </cell>
          <cell r="AC255">
            <v>704517</v>
          </cell>
          <cell r="AD255">
            <v>640672</v>
          </cell>
          <cell r="AE255">
            <v>715600</v>
          </cell>
          <cell r="AF255">
            <v>711172</v>
          </cell>
          <cell r="AG255">
            <v>599263</v>
          </cell>
          <cell r="AI255">
            <v>58</v>
          </cell>
        </row>
        <row r="256">
          <cell r="I256">
            <v>0</v>
          </cell>
          <cell r="J256">
            <v>0</v>
          </cell>
          <cell r="K256">
            <v>0</v>
          </cell>
          <cell r="L256">
            <v>-735</v>
          </cell>
          <cell r="M256">
            <v>0</v>
          </cell>
          <cell r="N256">
            <v>-2965</v>
          </cell>
          <cell r="O256">
            <v>1053</v>
          </cell>
          <cell r="P256">
            <v>474252</v>
          </cell>
          <cell r="Q256">
            <v>355399</v>
          </cell>
          <cell r="R256">
            <v>328402</v>
          </cell>
          <cell r="S256">
            <v>392072</v>
          </cell>
          <cell r="T256">
            <v>361954</v>
          </cell>
          <cell r="U256">
            <v>351859</v>
          </cell>
          <cell r="V256">
            <v>380927</v>
          </cell>
          <cell r="W256">
            <v>466181</v>
          </cell>
          <cell r="X256">
            <v>602766</v>
          </cell>
          <cell r="Y256">
            <v>858539</v>
          </cell>
          <cell r="Z256">
            <v>940509</v>
          </cell>
          <cell r="AA256">
            <v>957121</v>
          </cell>
          <cell r="AB256">
            <v>502410</v>
          </cell>
          <cell r="AC256">
            <v>407644</v>
          </cell>
          <cell r="AD256">
            <v>319207</v>
          </cell>
          <cell r="AE256">
            <v>401607</v>
          </cell>
          <cell r="AF256">
            <v>364442</v>
          </cell>
          <cell r="AG256">
            <v>330811</v>
          </cell>
          <cell r="AI256">
            <v>0</v>
          </cell>
        </row>
        <row r="257"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-1001</v>
          </cell>
          <cell r="O257">
            <v>-3621</v>
          </cell>
          <cell r="P257">
            <v>862146</v>
          </cell>
          <cell r="Q257">
            <v>600578</v>
          </cell>
          <cell r="R257">
            <v>593373</v>
          </cell>
          <cell r="S257">
            <v>640785</v>
          </cell>
          <cell r="T257">
            <v>692655</v>
          </cell>
          <cell r="U257">
            <v>604392</v>
          </cell>
          <cell r="V257">
            <v>629634</v>
          </cell>
          <cell r="W257">
            <v>766187</v>
          </cell>
          <cell r="X257">
            <v>946872</v>
          </cell>
          <cell r="Y257">
            <v>1286453</v>
          </cell>
          <cell r="Z257">
            <v>1570847</v>
          </cell>
          <cell r="AA257">
            <v>1626408</v>
          </cell>
          <cell r="AB257">
            <v>868804</v>
          </cell>
          <cell r="AC257">
            <v>662860</v>
          </cell>
          <cell r="AD257">
            <v>655734</v>
          </cell>
          <cell r="AE257">
            <v>689509</v>
          </cell>
          <cell r="AF257">
            <v>684737</v>
          </cell>
          <cell r="AG257">
            <v>601315</v>
          </cell>
          <cell r="AI257">
            <v>0</v>
          </cell>
        </row>
        <row r="259">
          <cell r="I259">
            <v>0</v>
          </cell>
          <cell r="J259">
            <v>194</v>
          </cell>
          <cell r="K259">
            <v>119</v>
          </cell>
          <cell r="L259">
            <v>0</v>
          </cell>
          <cell r="M259">
            <v>0</v>
          </cell>
          <cell r="N259">
            <v>0</v>
          </cell>
          <cell r="O259">
            <v>77714</v>
          </cell>
          <cell r="P259">
            <v>69711</v>
          </cell>
          <cell r="Q259">
            <v>66493</v>
          </cell>
          <cell r="R259">
            <v>76524</v>
          </cell>
          <cell r="S259">
            <v>80197</v>
          </cell>
          <cell r="T259">
            <v>68129</v>
          </cell>
          <cell r="U259">
            <v>76488</v>
          </cell>
          <cell r="V259">
            <v>78491</v>
          </cell>
          <cell r="W259">
            <v>75517</v>
          </cell>
          <cell r="X259">
            <v>91182</v>
          </cell>
          <cell r="Y259">
            <v>105116</v>
          </cell>
          <cell r="Z259">
            <v>106091</v>
          </cell>
          <cell r="AA259">
            <v>86879</v>
          </cell>
          <cell r="AB259">
            <v>70136</v>
          </cell>
          <cell r="AC259">
            <v>76377</v>
          </cell>
          <cell r="AD259">
            <v>88400</v>
          </cell>
          <cell r="AE259">
            <v>82810</v>
          </cell>
          <cell r="AF259">
            <v>71952</v>
          </cell>
          <cell r="AG259">
            <v>76009</v>
          </cell>
          <cell r="AI259">
            <v>194</v>
          </cell>
        </row>
        <row r="260"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-60</v>
          </cell>
          <cell r="O260">
            <v>39660</v>
          </cell>
          <cell r="P260">
            <v>42301</v>
          </cell>
          <cell r="Q260">
            <v>43489</v>
          </cell>
          <cell r="R260">
            <v>45711</v>
          </cell>
          <cell r="S260">
            <v>52705</v>
          </cell>
          <cell r="T260">
            <v>47301</v>
          </cell>
          <cell r="U260">
            <v>45069</v>
          </cell>
          <cell r="V260">
            <v>42541</v>
          </cell>
          <cell r="W260">
            <v>46258</v>
          </cell>
          <cell r="X260">
            <v>48500</v>
          </cell>
          <cell r="Y260">
            <v>62192</v>
          </cell>
          <cell r="Z260">
            <v>65566</v>
          </cell>
          <cell r="AA260">
            <v>48905</v>
          </cell>
          <cell r="AB260">
            <v>42449</v>
          </cell>
          <cell r="AC260">
            <v>44985</v>
          </cell>
          <cell r="AD260">
            <v>53117</v>
          </cell>
          <cell r="AE260">
            <v>45908</v>
          </cell>
          <cell r="AF260">
            <v>52256</v>
          </cell>
          <cell r="AG260">
            <v>42221</v>
          </cell>
          <cell r="AI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-51</v>
          </cell>
          <cell r="O261">
            <v>293396</v>
          </cell>
          <cell r="P261">
            <v>258024</v>
          </cell>
          <cell r="Q261">
            <v>295214</v>
          </cell>
          <cell r="R261">
            <v>282790</v>
          </cell>
          <cell r="S261">
            <v>264545</v>
          </cell>
          <cell r="T261">
            <v>275765</v>
          </cell>
          <cell r="U261">
            <v>247762</v>
          </cell>
          <cell r="V261">
            <v>281274</v>
          </cell>
          <cell r="W261">
            <v>273435</v>
          </cell>
          <cell r="X261">
            <v>280373</v>
          </cell>
          <cell r="Y261">
            <v>319308</v>
          </cell>
          <cell r="Z261">
            <v>299466</v>
          </cell>
          <cell r="AA261">
            <v>273387</v>
          </cell>
          <cell r="AB261">
            <v>249883</v>
          </cell>
          <cell r="AC261">
            <v>243573</v>
          </cell>
          <cell r="AD261">
            <v>268024</v>
          </cell>
          <cell r="AE261">
            <v>258762</v>
          </cell>
          <cell r="AF261">
            <v>261501</v>
          </cell>
          <cell r="AG261">
            <v>220337</v>
          </cell>
          <cell r="AI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-36</v>
          </cell>
          <cell r="N262">
            <v>0</v>
          </cell>
          <cell r="O262">
            <v>84277</v>
          </cell>
          <cell r="P262">
            <v>64302</v>
          </cell>
          <cell r="Q262">
            <v>71610</v>
          </cell>
          <cell r="R262">
            <v>89484</v>
          </cell>
          <cell r="S262">
            <v>89314</v>
          </cell>
          <cell r="T262">
            <v>89918</v>
          </cell>
          <cell r="U262">
            <v>69367</v>
          </cell>
          <cell r="V262">
            <v>78335</v>
          </cell>
          <cell r="W262">
            <v>86227</v>
          </cell>
          <cell r="X262">
            <v>91630</v>
          </cell>
          <cell r="Y262">
            <v>124079</v>
          </cell>
          <cell r="Z262">
            <v>112158</v>
          </cell>
          <cell r="AA262">
            <v>85570</v>
          </cell>
          <cell r="AB262">
            <v>77984</v>
          </cell>
          <cell r="AC262">
            <v>67166</v>
          </cell>
          <cell r="AD262">
            <v>78231</v>
          </cell>
          <cell r="AE262">
            <v>70001</v>
          </cell>
          <cell r="AF262">
            <v>77463</v>
          </cell>
          <cell r="AG262">
            <v>72847</v>
          </cell>
          <cell r="AI262">
            <v>0</v>
          </cell>
        </row>
        <row r="263"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-556</v>
          </cell>
          <cell r="O263">
            <v>129774</v>
          </cell>
          <cell r="P263">
            <v>92861</v>
          </cell>
          <cell r="Q263">
            <v>98770</v>
          </cell>
          <cell r="R263">
            <v>120489</v>
          </cell>
          <cell r="S263">
            <v>99311</v>
          </cell>
          <cell r="T263">
            <v>102477</v>
          </cell>
          <cell r="U263">
            <v>108316</v>
          </cell>
          <cell r="V263">
            <v>98166</v>
          </cell>
          <cell r="W263">
            <v>110807</v>
          </cell>
          <cell r="X263">
            <v>130929</v>
          </cell>
          <cell r="Y263">
            <v>159672</v>
          </cell>
          <cell r="Z263">
            <v>167660</v>
          </cell>
          <cell r="AA263">
            <v>116181</v>
          </cell>
          <cell r="AB263">
            <v>87650</v>
          </cell>
          <cell r="AC263">
            <v>101576</v>
          </cell>
          <cell r="AD263">
            <v>106197</v>
          </cell>
          <cell r="AE263">
            <v>99519</v>
          </cell>
          <cell r="AF263">
            <v>101522</v>
          </cell>
          <cell r="AG263">
            <v>101747</v>
          </cell>
          <cell r="AI263">
            <v>0</v>
          </cell>
        </row>
        <row r="264"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255691</v>
          </cell>
          <cell r="P264">
            <v>190037</v>
          </cell>
          <cell r="Q264">
            <v>225200</v>
          </cell>
          <cell r="R264">
            <v>225200</v>
          </cell>
          <cell r="S264">
            <v>238967</v>
          </cell>
          <cell r="T264">
            <v>235696</v>
          </cell>
          <cell r="U264">
            <v>255104</v>
          </cell>
          <cell r="V264">
            <v>207773</v>
          </cell>
          <cell r="W264">
            <v>271330</v>
          </cell>
          <cell r="X264">
            <v>311315</v>
          </cell>
          <cell r="Y264">
            <v>362489</v>
          </cell>
          <cell r="Z264">
            <v>382346</v>
          </cell>
          <cell r="AA264">
            <v>269504</v>
          </cell>
          <cell r="AB264">
            <v>221884</v>
          </cell>
          <cell r="AC264">
            <v>227903</v>
          </cell>
          <cell r="AD264">
            <v>274642</v>
          </cell>
          <cell r="AE264">
            <v>254349</v>
          </cell>
          <cell r="AF264">
            <v>249004</v>
          </cell>
          <cell r="AG264">
            <v>226178</v>
          </cell>
          <cell r="AI264">
            <v>0</v>
          </cell>
        </row>
        <row r="265">
          <cell r="I265">
            <v>0</v>
          </cell>
          <cell r="J265">
            <v>0</v>
          </cell>
          <cell r="K265">
            <v>0</v>
          </cell>
          <cell r="L265">
            <v>-170</v>
          </cell>
          <cell r="M265">
            <v>-41</v>
          </cell>
          <cell r="N265">
            <v>-324</v>
          </cell>
          <cell r="O265">
            <v>812385</v>
          </cell>
          <cell r="P265">
            <v>769558</v>
          </cell>
          <cell r="Q265">
            <v>714911</v>
          </cell>
          <cell r="R265">
            <v>838713</v>
          </cell>
          <cell r="S265">
            <v>772316</v>
          </cell>
          <cell r="T265">
            <v>794812</v>
          </cell>
          <cell r="U265">
            <v>773263</v>
          </cell>
          <cell r="V265">
            <v>746984</v>
          </cell>
          <cell r="W265">
            <v>853317</v>
          </cell>
          <cell r="X265">
            <v>596009</v>
          </cell>
          <cell r="Y265">
            <v>191567</v>
          </cell>
          <cell r="Z265">
            <v>490510</v>
          </cell>
          <cell r="AA265">
            <v>420541</v>
          </cell>
          <cell r="AB265">
            <v>507553</v>
          </cell>
          <cell r="AC265">
            <v>854520</v>
          </cell>
          <cell r="AD265">
            <v>823364</v>
          </cell>
          <cell r="AE265">
            <v>235261</v>
          </cell>
          <cell r="AF265">
            <v>474310</v>
          </cell>
          <cell r="AG265">
            <v>272717</v>
          </cell>
          <cell r="AI265">
            <v>0</v>
          </cell>
        </row>
        <row r="266">
          <cell r="I266">
            <v>0</v>
          </cell>
          <cell r="J266">
            <v>33</v>
          </cell>
          <cell r="K266">
            <v>14</v>
          </cell>
          <cell r="L266">
            <v>0</v>
          </cell>
          <cell r="M266">
            <v>0</v>
          </cell>
          <cell r="N266">
            <v>-1015</v>
          </cell>
          <cell r="O266">
            <v>74635</v>
          </cell>
          <cell r="P266">
            <v>68984</v>
          </cell>
          <cell r="Q266">
            <v>64925</v>
          </cell>
          <cell r="R266">
            <v>76765</v>
          </cell>
          <cell r="S266">
            <v>77050</v>
          </cell>
          <cell r="T266">
            <v>86048</v>
          </cell>
          <cell r="U266">
            <v>71576</v>
          </cell>
          <cell r="V266">
            <v>69088</v>
          </cell>
          <cell r="W266">
            <v>101448</v>
          </cell>
          <cell r="X266">
            <v>101942</v>
          </cell>
          <cell r="Y266">
            <v>156232</v>
          </cell>
          <cell r="Z266">
            <v>131159</v>
          </cell>
          <cell r="AA266">
            <v>117436</v>
          </cell>
          <cell r="AB266">
            <v>132600</v>
          </cell>
          <cell r="AC266">
            <v>100995</v>
          </cell>
          <cell r="AD266">
            <v>84470</v>
          </cell>
          <cell r="AE266">
            <v>83385</v>
          </cell>
          <cell r="AF266">
            <v>75282</v>
          </cell>
          <cell r="AG266">
            <v>72505</v>
          </cell>
          <cell r="AI266">
            <v>33</v>
          </cell>
        </row>
        <row r="267"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84036</v>
          </cell>
          <cell r="P267">
            <v>89814</v>
          </cell>
          <cell r="Q267">
            <v>90312</v>
          </cell>
          <cell r="R267">
            <v>88874</v>
          </cell>
          <cell r="S267">
            <v>91979</v>
          </cell>
          <cell r="T267">
            <v>92059</v>
          </cell>
          <cell r="U267">
            <v>90940</v>
          </cell>
          <cell r="V267">
            <v>84373</v>
          </cell>
          <cell r="W267">
            <v>97157</v>
          </cell>
          <cell r="X267">
            <v>124763</v>
          </cell>
          <cell r="Y267">
            <v>159865</v>
          </cell>
          <cell r="Z267">
            <v>187173</v>
          </cell>
          <cell r="AA267">
            <v>115688</v>
          </cell>
          <cell r="AB267">
            <v>82003</v>
          </cell>
          <cell r="AC267">
            <v>88374</v>
          </cell>
          <cell r="AD267">
            <v>93701</v>
          </cell>
          <cell r="AE267">
            <v>87354</v>
          </cell>
          <cell r="AF267">
            <v>99944</v>
          </cell>
          <cell r="AG267">
            <v>84872</v>
          </cell>
          <cell r="AI267">
            <v>0</v>
          </cell>
        </row>
        <row r="268"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-110</v>
          </cell>
          <cell r="P268">
            <v>60874</v>
          </cell>
          <cell r="Q268">
            <v>60672</v>
          </cell>
          <cell r="R268">
            <v>101095</v>
          </cell>
          <cell r="S268">
            <v>106338</v>
          </cell>
          <cell r="T268">
            <v>77284</v>
          </cell>
          <cell r="U268">
            <v>78712</v>
          </cell>
          <cell r="V268">
            <v>65422</v>
          </cell>
          <cell r="W268">
            <v>81763</v>
          </cell>
          <cell r="X268">
            <v>90753</v>
          </cell>
          <cell r="Y268">
            <v>109240</v>
          </cell>
          <cell r="Z268">
            <v>111987</v>
          </cell>
          <cell r="AA268">
            <v>85844</v>
          </cell>
          <cell r="AB268">
            <v>71082</v>
          </cell>
          <cell r="AC268">
            <v>66046</v>
          </cell>
          <cell r="AD268">
            <v>75187</v>
          </cell>
          <cell r="AE268">
            <v>71620</v>
          </cell>
          <cell r="AF268">
            <v>74505</v>
          </cell>
          <cell r="AG268">
            <v>64832</v>
          </cell>
          <cell r="AI268">
            <v>0</v>
          </cell>
        </row>
        <row r="269"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163219</v>
          </cell>
          <cell r="Q269">
            <v>157623</v>
          </cell>
          <cell r="R269">
            <v>171844</v>
          </cell>
          <cell r="S269">
            <v>171000</v>
          </cell>
          <cell r="T269">
            <v>171055</v>
          </cell>
          <cell r="U269">
            <v>166006</v>
          </cell>
          <cell r="V269">
            <v>154018</v>
          </cell>
          <cell r="W269">
            <v>189295</v>
          </cell>
          <cell r="X269">
            <v>232400</v>
          </cell>
          <cell r="Y269">
            <v>260270</v>
          </cell>
          <cell r="Z269">
            <v>268468</v>
          </cell>
          <cell r="AA269">
            <v>204246</v>
          </cell>
          <cell r="AB269">
            <v>158078</v>
          </cell>
          <cell r="AC269">
            <v>143616</v>
          </cell>
          <cell r="AD269">
            <v>164518</v>
          </cell>
          <cell r="AE269">
            <v>161818</v>
          </cell>
          <cell r="AF269">
            <v>143609</v>
          </cell>
          <cell r="AG269">
            <v>139369</v>
          </cell>
          <cell r="AI269">
            <v>0</v>
          </cell>
        </row>
        <row r="270"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126363</v>
          </cell>
          <cell r="Q270">
            <v>119487</v>
          </cell>
          <cell r="R270">
            <v>131451</v>
          </cell>
          <cell r="S270">
            <v>131084</v>
          </cell>
          <cell r="T270">
            <v>163876</v>
          </cell>
          <cell r="U270">
            <v>149983</v>
          </cell>
          <cell r="V270">
            <v>145423</v>
          </cell>
          <cell r="W270">
            <v>167598</v>
          </cell>
          <cell r="X270">
            <v>155499</v>
          </cell>
          <cell r="Y270">
            <v>165210</v>
          </cell>
          <cell r="Z270">
            <v>183848</v>
          </cell>
          <cell r="AA270">
            <v>153512</v>
          </cell>
          <cell r="AB270">
            <v>144234</v>
          </cell>
          <cell r="AC270">
            <v>147378</v>
          </cell>
          <cell r="AD270">
            <v>140568</v>
          </cell>
          <cell r="AE270">
            <v>144539</v>
          </cell>
          <cell r="AF270">
            <v>151792</v>
          </cell>
          <cell r="AG270">
            <v>128900</v>
          </cell>
          <cell r="AI270">
            <v>0</v>
          </cell>
        </row>
        <row r="271">
          <cell r="I271">
            <v>0</v>
          </cell>
          <cell r="J271">
            <v>13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-101</v>
          </cell>
          <cell r="P271">
            <v>155374</v>
          </cell>
          <cell r="Q271">
            <v>151226</v>
          </cell>
          <cell r="R271">
            <v>156095</v>
          </cell>
          <cell r="S271">
            <v>154645</v>
          </cell>
          <cell r="T271">
            <v>164632</v>
          </cell>
          <cell r="U271">
            <v>148209</v>
          </cell>
          <cell r="V271">
            <v>153537</v>
          </cell>
          <cell r="W271">
            <v>168423</v>
          </cell>
          <cell r="X271">
            <v>165886</v>
          </cell>
          <cell r="Y271">
            <v>124459</v>
          </cell>
          <cell r="Z271">
            <v>283807</v>
          </cell>
          <cell r="AA271">
            <v>173928</v>
          </cell>
          <cell r="AB271">
            <v>144888</v>
          </cell>
          <cell r="AC271">
            <v>126463</v>
          </cell>
          <cell r="AD271">
            <v>142164</v>
          </cell>
          <cell r="AE271">
            <v>137050</v>
          </cell>
          <cell r="AF271">
            <v>134849</v>
          </cell>
          <cell r="AG271">
            <v>132599</v>
          </cell>
          <cell r="AI271">
            <v>13</v>
          </cell>
        </row>
        <row r="272">
          <cell r="I272">
            <v>-126</v>
          </cell>
          <cell r="J272">
            <v>0</v>
          </cell>
          <cell r="K272">
            <v>0</v>
          </cell>
          <cell r="L272">
            <v>0</v>
          </cell>
          <cell r="M272">
            <v>-10</v>
          </cell>
          <cell r="N272">
            <v>0</v>
          </cell>
          <cell r="O272">
            <v>0</v>
          </cell>
          <cell r="P272">
            <v>130910</v>
          </cell>
          <cell r="Q272">
            <v>121821</v>
          </cell>
          <cell r="R272">
            <v>148266</v>
          </cell>
          <cell r="S272">
            <v>147098</v>
          </cell>
          <cell r="T272">
            <v>158004</v>
          </cell>
          <cell r="U272">
            <v>150038</v>
          </cell>
          <cell r="V272">
            <v>133288</v>
          </cell>
          <cell r="W272">
            <v>175280</v>
          </cell>
          <cell r="X272">
            <v>185141</v>
          </cell>
          <cell r="Y272">
            <v>228708</v>
          </cell>
          <cell r="Z272">
            <v>260221</v>
          </cell>
          <cell r="AA272">
            <v>213056</v>
          </cell>
          <cell r="AB272">
            <v>144696</v>
          </cell>
          <cell r="AC272">
            <v>133696</v>
          </cell>
          <cell r="AD272">
            <v>155638</v>
          </cell>
          <cell r="AE272">
            <v>151158</v>
          </cell>
          <cell r="AF272">
            <v>152751</v>
          </cell>
          <cell r="AG272">
            <v>145705</v>
          </cell>
          <cell r="AI272">
            <v>0</v>
          </cell>
        </row>
        <row r="273"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-110</v>
          </cell>
          <cell r="N273">
            <v>-2</v>
          </cell>
          <cell r="O273">
            <v>-231</v>
          </cell>
          <cell r="P273">
            <v>46739</v>
          </cell>
          <cell r="Q273">
            <v>43268</v>
          </cell>
          <cell r="R273">
            <v>41932</v>
          </cell>
          <cell r="S273">
            <v>38389</v>
          </cell>
          <cell r="T273">
            <v>35350</v>
          </cell>
          <cell r="U273">
            <v>47045</v>
          </cell>
          <cell r="V273">
            <v>37072</v>
          </cell>
          <cell r="W273">
            <v>46257</v>
          </cell>
          <cell r="X273">
            <v>50941</v>
          </cell>
          <cell r="Y273">
            <v>54364</v>
          </cell>
          <cell r="Z273">
            <v>68519</v>
          </cell>
          <cell r="AA273">
            <v>50135</v>
          </cell>
          <cell r="AB273">
            <v>42358</v>
          </cell>
          <cell r="AC273">
            <v>40676</v>
          </cell>
          <cell r="AD273">
            <v>42060</v>
          </cell>
          <cell r="AE273">
            <v>44957</v>
          </cell>
          <cell r="AF273">
            <v>46202</v>
          </cell>
          <cell r="AG273">
            <v>45305</v>
          </cell>
          <cell r="AI273">
            <v>0</v>
          </cell>
        </row>
        <row r="274"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108849</v>
          </cell>
          <cell r="Q274">
            <v>101675</v>
          </cell>
          <cell r="R274">
            <v>120790</v>
          </cell>
          <cell r="S274">
            <v>113583</v>
          </cell>
          <cell r="T274">
            <v>114750</v>
          </cell>
          <cell r="U274">
            <v>41671</v>
          </cell>
          <cell r="V274">
            <v>164886</v>
          </cell>
          <cell r="W274">
            <v>94148</v>
          </cell>
          <cell r="X274">
            <v>106334</v>
          </cell>
          <cell r="Y274">
            <v>121368</v>
          </cell>
          <cell r="Z274">
            <v>141938</v>
          </cell>
          <cell r="AA274">
            <v>114057</v>
          </cell>
          <cell r="AB274">
            <v>88901</v>
          </cell>
          <cell r="AC274">
            <v>84055</v>
          </cell>
          <cell r="AD274">
            <v>100602</v>
          </cell>
          <cell r="AE274">
            <v>102822</v>
          </cell>
          <cell r="AF274">
            <v>104663</v>
          </cell>
          <cell r="AG274">
            <v>91493</v>
          </cell>
          <cell r="AI274">
            <v>0</v>
          </cell>
        </row>
        <row r="275"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-321</v>
          </cell>
          <cell r="N275">
            <v>-228</v>
          </cell>
          <cell r="O275">
            <v>0</v>
          </cell>
          <cell r="P275">
            <v>1288344</v>
          </cell>
          <cell r="Q275">
            <v>1210445</v>
          </cell>
          <cell r="R275">
            <v>1422671</v>
          </cell>
          <cell r="S275">
            <v>1319488</v>
          </cell>
          <cell r="T275">
            <v>1637476</v>
          </cell>
          <cell r="U275">
            <v>1288524</v>
          </cell>
          <cell r="V275">
            <v>1238155</v>
          </cell>
          <cell r="W275">
            <v>1424391</v>
          </cell>
          <cell r="X275">
            <v>1343365</v>
          </cell>
          <cell r="Y275">
            <v>1470969</v>
          </cell>
          <cell r="Z275">
            <v>1591531</v>
          </cell>
          <cell r="AA275">
            <v>1936571</v>
          </cell>
          <cell r="AB275">
            <v>967049</v>
          </cell>
          <cell r="AC275">
            <v>1290340</v>
          </cell>
          <cell r="AD275">
            <v>1329360</v>
          </cell>
          <cell r="AE275">
            <v>1295054</v>
          </cell>
          <cell r="AF275">
            <v>1414364</v>
          </cell>
          <cell r="AG275">
            <v>1189035</v>
          </cell>
          <cell r="AI275">
            <v>0</v>
          </cell>
        </row>
        <row r="276"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-1462</v>
          </cell>
          <cell r="P276">
            <v>114896</v>
          </cell>
          <cell r="Q276">
            <v>101929</v>
          </cell>
          <cell r="R276">
            <v>100877</v>
          </cell>
          <cell r="S276">
            <v>85103</v>
          </cell>
          <cell r="T276">
            <v>83204</v>
          </cell>
          <cell r="U276">
            <v>86927</v>
          </cell>
          <cell r="V276">
            <v>73016</v>
          </cell>
          <cell r="W276">
            <v>91227</v>
          </cell>
          <cell r="X276">
            <v>110802</v>
          </cell>
          <cell r="Y276">
            <v>128633</v>
          </cell>
          <cell r="Z276">
            <v>133751</v>
          </cell>
          <cell r="AA276">
            <v>130178</v>
          </cell>
          <cell r="AB276">
            <v>84825</v>
          </cell>
          <cell r="AC276">
            <v>68090</v>
          </cell>
          <cell r="AD276">
            <v>68049</v>
          </cell>
          <cell r="AE276">
            <v>69201</v>
          </cell>
          <cell r="AF276">
            <v>80037</v>
          </cell>
          <cell r="AG276">
            <v>69153</v>
          </cell>
          <cell r="AI276">
            <v>0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55904</v>
          </cell>
          <cell r="Q277">
            <v>49836</v>
          </cell>
          <cell r="R277">
            <v>57114</v>
          </cell>
          <cell r="S277">
            <v>60673</v>
          </cell>
          <cell r="T277">
            <v>56406</v>
          </cell>
          <cell r="U277">
            <v>59737</v>
          </cell>
          <cell r="V277">
            <v>56115</v>
          </cell>
          <cell r="W277">
            <v>53165</v>
          </cell>
          <cell r="X277">
            <v>62411</v>
          </cell>
          <cell r="Y277">
            <v>73224</v>
          </cell>
          <cell r="Z277">
            <v>77593</v>
          </cell>
          <cell r="AA277">
            <v>67553</v>
          </cell>
          <cell r="AB277">
            <v>57940</v>
          </cell>
          <cell r="AC277">
            <v>50297</v>
          </cell>
          <cell r="AD277">
            <v>52498</v>
          </cell>
          <cell r="AE277">
            <v>52367</v>
          </cell>
          <cell r="AF277">
            <v>50700</v>
          </cell>
          <cell r="AG277">
            <v>48485</v>
          </cell>
          <cell r="AI277">
            <v>0</v>
          </cell>
        </row>
        <row r="278"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-22191</v>
          </cell>
          <cell r="P278">
            <v>400509</v>
          </cell>
          <cell r="Q278">
            <v>286583</v>
          </cell>
          <cell r="R278">
            <v>308964</v>
          </cell>
          <cell r="S278">
            <v>317266</v>
          </cell>
          <cell r="T278">
            <v>361326</v>
          </cell>
          <cell r="U278">
            <v>296825</v>
          </cell>
          <cell r="V278">
            <v>371191</v>
          </cell>
          <cell r="W278">
            <v>259188</v>
          </cell>
          <cell r="X278">
            <v>351506</v>
          </cell>
          <cell r="Y278">
            <v>447750</v>
          </cell>
          <cell r="Z278">
            <v>358486</v>
          </cell>
          <cell r="AA278">
            <v>396971</v>
          </cell>
          <cell r="AB278">
            <v>336057</v>
          </cell>
          <cell r="AC278">
            <v>297334</v>
          </cell>
          <cell r="AD278">
            <v>203490</v>
          </cell>
          <cell r="AE278">
            <v>1252661</v>
          </cell>
          <cell r="AF278">
            <v>1508322</v>
          </cell>
          <cell r="AG278">
            <v>267823</v>
          </cell>
          <cell r="AI278">
            <v>0</v>
          </cell>
        </row>
        <row r="280">
          <cell r="I280">
            <v>703896</v>
          </cell>
          <cell r="J280">
            <v>773075</v>
          </cell>
          <cell r="K280">
            <v>980770</v>
          </cell>
          <cell r="L280">
            <v>979062</v>
          </cell>
          <cell r="M280">
            <v>995688</v>
          </cell>
          <cell r="N280">
            <v>1106439</v>
          </cell>
          <cell r="O280">
            <v>740105</v>
          </cell>
          <cell r="P280">
            <v>689445</v>
          </cell>
          <cell r="Q280">
            <v>644483</v>
          </cell>
          <cell r="R280">
            <v>659976</v>
          </cell>
          <cell r="S280">
            <v>744065</v>
          </cell>
          <cell r="T280">
            <v>639046</v>
          </cell>
          <cell r="U280">
            <v>683357</v>
          </cell>
          <cell r="V280">
            <v>714620</v>
          </cell>
          <cell r="W280">
            <v>758324</v>
          </cell>
          <cell r="X280">
            <v>897702</v>
          </cell>
          <cell r="Y280">
            <v>1027356</v>
          </cell>
          <cell r="Z280">
            <v>987146</v>
          </cell>
          <cell r="AA280">
            <v>770049</v>
          </cell>
          <cell r="AB280">
            <v>613558</v>
          </cell>
          <cell r="AC280">
            <v>631254</v>
          </cell>
          <cell r="AD280">
            <v>725210</v>
          </cell>
          <cell r="AE280">
            <v>695101</v>
          </cell>
          <cell r="AF280">
            <v>630947</v>
          </cell>
          <cell r="AG280">
            <v>635588</v>
          </cell>
          <cell r="AI280">
            <v>773075</v>
          </cell>
        </row>
        <row r="281">
          <cell r="I281">
            <v>150626</v>
          </cell>
          <cell r="J281">
            <v>155578</v>
          </cell>
          <cell r="K281">
            <v>205907</v>
          </cell>
          <cell r="L281">
            <v>210391</v>
          </cell>
          <cell r="M281">
            <v>228281</v>
          </cell>
          <cell r="N281">
            <v>248992</v>
          </cell>
          <cell r="O281">
            <v>130328</v>
          </cell>
          <cell r="P281">
            <v>102343</v>
          </cell>
          <cell r="Q281">
            <v>116739</v>
          </cell>
          <cell r="R281">
            <v>113410</v>
          </cell>
          <cell r="S281">
            <v>128263</v>
          </cell>
          <cell r="T281">
            <v>121571</v>
          </cell>
          <cell r="U281">
            <v>112095</v>
          </cell>
          <cell r="V281">
            <v>113496</v>
          </cell>
          <cell r="W281">
            <v>143197</v>
          </cell>
          <cell r="X281">
            <v>173261</v>
          </cell>
          <cell r="Y281">
            <v>229850</v>
          </cell>
          <cell r="Z281">
            <v>202941</v>
          </cell>
          <cell r="AA281">
            <v>139705</v>
          </cell>
          <cell r="AB281">
            <v>105699</v>
          </cell>
          <cell r="AC281">
            <v>107241</v>
          </cell>
          <cell r="AD281">
            <v>133811</v>
          </cell>
          <cell r="AE281">
            <v>127884</v>
          </cell>
          <cell r="AF281">
            <v>109649</v>
          </cell>
          <cell r="AG281">
            <v>102150</v>
          </cell>
          <cell r="AI281">
            <v>155578</v>
          </cell>
        </row>
        <row r="282">
          <cell r="I282">
            <v>235862</v>
          </cell>
          <cell r="J282">
            <v>235147</v>
          </cell>
          <cell r="K282">
            <v>261636</v>
          </cell>
          <cell r="L282">
            <v>310576</v>
          </cell>
          <cell r="M282">
            <v>318934</v>
          </cell>
          <cell r="N282">
            <v>346628</v>
          </cell>
          <cell r="O282">
            <v>186174</v>
          </cell>
          <cell r="P282">
            <v>177912</v>
          </cell>
          <cell r="Q282">
            <v>183117</v>
          </cell>
          <cell r="R282">
            <v>210144</v>
          </cell>
          <cell r="S282">
            <v>216753</v>
          </cell>
          <cell r="T282">
            <v>205909</v>
          </cell>
          <cell r="U282">
            <v>207373</v>
          </cell>
          <cell r="V282">
            <v>191523</v>
          </cell>
          <cell r="W282">
            <v>216435</v>
          </cell>
          <cell r="X282">
            <v>219497</v>
          </cell>
          <cell r="Y282">
            <v>272391</v>
          </cell>
          <cell r="Z282">
            <v>276701</v>
          </cell>
          <cell r="AA282">
            <v>200199</v>
          </cell>
          <cell r="AB282">
            <v>168866</v>
          </cell>
          <cell r="AC282">
            <v>191733</v>
          </cell>
          <cell r="AD282">
            <v>227173</v>
          </cell>
          <cell r="AE282">
            <v>205176</v>
          </cell>
          <cell r="AF282">
            <v>218029</v>
          </cell>
          <cell r="AG282">
            <v>180851</v>
          </cell>
          <cell r="AI282">
            <v>235147</v>
          </cell>
        </row>
        <row r="283">
          <cell r="I283">
            <v>360264</v>
          </cell>
          <cell r="J283">
            <v>304532</v>
          </cell>
          <cell r="K283">
            <v>408280</v>
          </cell>
          <cell r="L283">
            <v>394683</v>
          </cell>
          <cell r="M283">
            <v>423726</v>
          </cell>
          <cell r="N283">
            <v>440910</v>
          </cell>
          <cell r="O283">
            <v>284234</v>
          </cell>
          <cell r="P283">
            <v>258613</v>
          </cell>
          <cell r="Q283">
            <v>253008</v>
          </cell>
          <cell r="R283">
            <v>298866</v>
          </cell>
          <cell r="S283">
            <v>309458</v>
          </cell>
          <cell r="T283">
            <v>315437</v>
          </cell>
          <cell r="U283">
            <v>255204</v>
          </cell>
          <cell r="V283">
            <v>285494</v>
          </cell>
          <cell r="W283">
            <v>282654</v>
          </cell>
          <cell r="X283">
            <v>302450</v>
          </cell>
          <cell r="Y283">
            <v>402803</v>
          </cell>
          <cell r="Z283">
            <v>335867</v>
          </cell>
          <cell r="AA283">
            <v>285074</v>
          </cell>
          <cell r="AB283">
            <v>233344</v>
          </cell>
          <cell r="AC283">
            <v>245225</v>
          </cell>
          <cell r="AD283">
            <v>324804</v>
          </cell>
          <cell r="AE283">
            <v>285868</v>
          </cell>
          <cell r="AF283">
            <v>286211</v>
          </cell>
          <cell r="AG283">
            <v>271357</v>
          </cell>
          <cell r="AI283">
            <v>304532</v>
          </cell>
        </row>
        <row r="284">
          <cell r="I284">
            <v>562554</v>
          </cell>
          <cell r="J284">
            <v>536237</v>
          </cell>
          <cell r="K284">
            <v>627231</v>
          </cell>
          <cell r="L284">
            <v>710972</v>
          </cell>
          <cell r="M284">
            <v>761447</v>
          </cell>
          <cell r="N284">
            <v>756673</v>
          </cell>
          <cell r="O284">
            <v>489041</v>
          </cell>
          <cell r="P284">
            <v>399488</v>
          </cell>
          <cell r="Q284">
            <v>414477</v>
          </cell>
          <cell r="R284">
            <v>492363</v>
          </cell>
          <cell r="S284">
            <v>477927</v>
          </cell>
          <cell r="T284">
            <v>472834</v>
          </cell>
          <cell r="U284">
            <v>452450</v>
          </cell>
          <cell r="V284">
            <v>628460</v>
          </cell>
          <cell r="W284">
            <v>690576</v>
          </cell>
          <cell r="X284">
            <v>679567</v>
          </cell>
          <cell r="Y284">
            <v>825881</v>
          </cell>
          <cell r="Z284">
            <v>816530</v>
          </cell>
          <cell r="AA284">
            <v>680757</v>
          </cell>
          <cell r="AB284">
            <v>565904</v>
          </cell>
          <cell r="AC284">
            <v>618825</v>
          </cell>
          <cell r="AD284">
            <v>705639</v>
          </cell>
          <cell r="AE284">
            <v>653412</v>
          </cell>
          <cell r="AF284">
            <v>666872</v>
          </cell>
          <cell r="AG284">
            <v>629122</v>
          </cell>
          <cell r="AI284">
            <v>536237</v>
          </cell>
        </row>
        <row r="285">
          <cell r="I285">
            <v>1362737</v>
          </cell>
          <cell r="J285">
            <v>1330162</v>
          </cell>
          <cell r="K285">
            <v>1445941</v>
          </cell>
          <cell r="L285">
            <v>1568949</v>
          </cell>
          <cell r="M285">
            <v>1559587</v>
          </cell>
          <cell r="N285">
            <v>1857319</v>
          </cell>
          <cell r="O285">
            <v>1265542</v>
          </cell>
          <cell r="P285">
            <v>1111631</v>
          </cell>
          <cell r="Q285">
            <v>1133055</v>
          </cell>
          <cell r="R285">
            <v>1270589</v>
          </cell>
          <cell r="S285">
            <v>1247369</v>
          </cell>
          <cell r="T285">
            <v>1259439</v>
          </cell>
          <cell r="U285">
            <v>1249736</v>
          </cell>
          <cell r="V285">
            <v>1140394</v>
          </cell>
          <cell r="W285">
            <v>1232577</v>
          </cell>
          <cell r="X285">
            <v>1324597</v>
          </cell>
          <cell r="Y285">
            <v>1389548</v>
          </cell>
          <cell r="Z285">
            <v>1473813</v>
          </cell>
          <cell r="AA285">
            <v>1272870</v>
          </cell>
          <cell r="AB285">
            <v>1078473</v>
          </cell>
          <cell r="AC285">
            <v>1170109</v>
          </cell>
          <cell r="AD285">
            <v>1304495</v>
          </cell>
          <cell r="AE285">
            <v>1275164</v>
          </cell>
          <cell r="AF285">
            <v>1245049</v>
          </cell>
          <cell r="AG285">
            <v>1151356</v>
          </cell>
          <cell r="AI285">
            <v>1330162</v>
          </cell>
        </row>
        <row r="286">
          <cell r="I286">
            <v>902571</v>
          </cell>
          <cell r="J286">
            <v>770186</v>
          </cell>
          <cell r="K286">
            <v>770586</v>
          </cell>
          <cell r="L286">
            <v>866428</v>
          </cell>
          <cell r="M286">
            <v>817155</v>
          </cell>
          <cell r="N286">
            <v>953876</v>
          </cell>
          <cell r="O286">
            <v>44987</v>
          </cell>
          <cell r="P286">
            <v>35389</v>
          </cell>
          <cell r="Q286">
            <v>37321</v>
          </cell>
          <cell r="R286">
            <v>38127</v>
          </cell>
          <cell r="S286">
            <v>39457</v>
          </cell>
          <cell r="T286">
            <v>41519</v>
          </cell>
          <cell r="U286">
            <v>36466</v>
          </cell>
          <cell r="V286">
            <v>35253</v>
          </cell>
          <cell r="W286">
            <v>53233</v>
          </cell>
          <cell r="X286">
            <v>54669</v>
          </cell>
          <cell r="Y286">
            <v>68547</v>
          </cell>
          <cell r="Z286">
            <v>73272</v>
          </cell>
          <cell r="AA286">
            <v>55031</v>
          </cell>
          <cell r="AB286">
            <v>35413</v>
          </cell>
          <cell r="AC286">
            <v>33677</v>
          </cell>
          <cell r="AD286">
            <v>38744</v>
          </cell>
          <cell r="AE286">
            <v>39111</v>
          </cell>
          <cell r="AF286">
            <v>34351</v>
          </cell>
          <cell r="AG286">
            <v>31949</v>
          </cell>
          <cell r="AI286">
            <v>770186</v>
          </cell>
        </row>
        <row r="287">
          <cell r="I287">
            <v>671512</v>
          </cell>
          <cell r="J287">
            <v>615086</v>
          </cell>
          <cell r="K287">
            <v>758442</v>
          </cell>
          <cell r="L287">
            <v>893207</v>
          </cell>
          <cell r="M287">
            <v>940405</v>
          </cell>
          <cell r="N287">
            <v>954186</v>
          </cell>
          <cell r="O287">
            <v>622183</v>
          </cell>
          <cell r="P287">
            <v>519451</v>
          </cell>
          <cell r="Q287">
            <v>551190</v>
          </cell>
          <cell r="R287">
            <v>672870</v>
          </cell>
          <cell r="S287">
            <v>658292</v>
          </cell>
          <cell r="T287">
            <v>679565</v>
          </cell>
          <cell r="U287">
            <v>590996</v>
          </cell>
          <cell r="V287">
            <v>522534</v>
          </cell>
          <cell r="W287">
            <v>701396</v>
          </cell>
          <cell r="X287">
            <v>670055</v>
          </cell>
          <cell r="Y287">
            <v>1032942</v>
          </cell>
          <cell r="Z287">
            <v>842028</v>
          </cell>
          <cell r="AA287">
            <v>745021</v>
          </cell>
          <cell r="AB287">
            <v>540665</v>
          </cell>
          <cell r="AC287">
            <v>560049</v>
          </cell>
          <cell r="AD287">
            <v>774507</v>
          </cell>
          <cell r="AE287">
            <v>662086</v>
          </cell>
          <cell r="AF287">
            <v>648932</v>
          </cell>
          <cell r="AG287">
            <v>616503</v>
          </cell>
          <cell r="AI287">
            <v>615086</v>
          </cell>
        </row>
        <row r="288">
          <cell r="I288">
            <v>687602</v>
          </cell>
          <cell r="J288">
            <v>688747</v>
          </cell>
          <cell r="K288">
            <v>818495</v>
          </cell>
          <cell r="L288">
            <v>857218</v>
          </cell>
          <cell r="M288">
            <v>933792</v>
          </cell>
          <cell r="N288">
            <v>1054708</v>
          </cell>
          <cell r="O288">
            <v>718795</v>
          </cell>
          <cell r="P288">
            <v>612683</v>
          </cell>
          <cell r="Q288">
            <v>641603</v>
          </cell>
          <cell r="R288">
            <v>661530</v>
          </cell>
          <cell r="S288">
            <v>687674</v>
          </cell>
          <cell r="T288">
            <v>721089</v>
          </cell>
          <cell r="U288">
            <v>669520</v>
          </cell>
          <cell r="V288">
            <v>631039</v>
          </cell>
          <cell r="W288">
            <v>723649</v>
          </cell>
          <cell r="X288">
            <v>750865</v>
          </cell>
          <cell r="Y288">
            <v>840884</v>
          </cell>
          <cell r="Z288">
            <v>968731</v>
          </cell>
          <cell r="AA288">
            <v>720892</v>
          </cell>
          <cell r="AB288">
            <v>595178</v>
          </cell>
          <cell r="AC288">
            <v>647798</v>
          </cell>
          <cell r="AD288">
            <v>711145</v>
          </cell>
          <cell r="AE288">
            <v>683063</v>
          </cell>
          <cell r="AF288">
            <v>740784</v>
          </cell>
          <cell r="AG288">
            <v>628973</v>
          </cell>
          <cell r="AI288">
            <v>688747</v>
          </cell>
        </row>
        <row r="289">
          <cell r="I289">
            <v>719578</v>
          </cell>
          <cell r="J289">
            <v>613193</v>
          </cell>
          <cell r="K289">
            <v>659583</v>
          </cell>
          <cell r="L289">
            <v>745545</v>
          </cell>
          <cell r="M289">
            <v>734961</v>
          </cell>
          <cell r="N289">
            <v>779397</v>
          </cell>
          <cell r="O289">
            <v>662115</v>
          </cell>
          <cell r="P289">
            <v>598232</v>
          </cell>
          <cell r="Q289">
            <v>566450</v>
          </cell>
          <cell r="R289">
            <v>597950</v>
          </cell>
          <cell r="S289">
            <v>642519</v>
          </cell>
          <cell r="T289">
            <v>611938</v>
          </cell>
          <cell r="U289">
            <v>616845</v>
          </cell>
          <cell r="V289">
            <v>519174</v>
          </cell>
          <cell r="W289">
            <v>590190</v>
          </cell>
          <cell r="X289">
            <v>531854</v>
          </cell>
          <cell r="Y289">
            <v>610641</v>
          </cell>
          <cell r="Z289">
            <v>715514</v>
          </cell>
          <cell r="AA289">
            <v>586277</v>
          </cell>
          <cell r="AB289">
            <v>497972</v>
          </cell>
          <cell r="AC289">
            <v>518024</v>
          </cell>
          <cell r="AD289">
            <v>645504</v>
          </cell>
          <cell r="AE289">
            <v>591225</v>
          </cell>
          <cell r="AF289">
            <v>607025</v>
          </cell>
          <cell r="AG289">
            <v>569325</v>
          </cell>
          <cell r="AI289">
            <v>613193</v>
          </cell>
        </row>
        <row r="290">
          <cell r="I290">
            <v>208280</v>
          </cell>
          <cell r="J290">
            <v>215637</v>
          </cell>
          <cell r="K290">
            <v>243277</v>
          </cell>
          <cell r="L290">
            <v>320183</v>
          </cell>
          <cell r="M290">
            <v>329141</v>
          </cell>
          <cell r="N290">
            <v>373370</v>
          </cell>
          <cell r="O290">
            <v>279378</v>
          </cell>
          <cell r="P290">
            <v>50950</v>
          </cell>
          <cell r="Q290">
            <v>42746</v>
          </cell>
          <cell r="R290">
            <v>50115</v>
          </cell>
          <cell r="S290">
            <v>51361</v>
          </cell>
          <cell r="T290">
            <v>50750</v>
          </cell>
          <cell r="U290">
            <v>48848</v>
          </cell>
          <cell r="V290">
            <v>45976</v>
          </cell>
          <cell r="W290">
            <v>58351</v>
          </cell>
          <cell r="X290">
            <v>62898</v>
          </cell>
          <cell r="Y290">
            <v>78424</v>
          </cell>
          <cell r="Z290">
            <v>82246</v>
          </cell>
          <cell r="AA290">
            <v>72514</v>
          </cell>
          <cell r="AB290">
            <v>53065</v>
          </cell>
          <cell r="AC290">
            <v>46729</v>
          </cell>
          <cell r="AD290">
            <v>55082</v>
          </cell>
          <cell r="AE290">
            <v>54588</v>
          </cell>
          <cell r="AF290">
            <v>48310</v>
          </cell>
          <cell r="AG290">
            <v>46601</v>
          </cell>
          <cell r="AI290">
            <v>215637</v>
          </cell>
        </row>
        <row r="291">
          <cell r="I291">
            <v>355985</v>
          </cell>
          <cell r="J291">
            <v>340467</v>
          </cell>
          <cell r="K291">
            <v>411443</v>
          </cell>
          <cell r="L291">
            <v>509976</v>
          </cell>
          <cell r="M291">
            <v>511113</v>
          </cell>
          <cell r="N291">
            <v>557325</v>
          </cell>
          <cell r="O291">
            <v>425207</v>
          </cell>
          <cell r="P291">
            <v>233233</v>
          </cell>
          <cell r="Q291">
            <v>210659</v>
          </cell>
          <cell r="R291">
            <v>216865</v>
          </cell>
          <cell r="S291">
            <v>230683</v>
          </cell>
          <cell r="T291">
            <v>248131</v>
          </cell>
          <cell r="U291">
            <v>219402</v>
          </cell>
          <cell r="V291">
            <v>209961</v>
          </cell>
          <cell r="W291">
            <v>300267</v>
          </cell>
          <cell r="X291">
            <v>285618</v>
          </cell>
          <cell r="Y291">
            <v>394821</v>
          </cell>
          <cell r="Z291">
            <v>396701</v>
          </cell>
          <cell r="AA291">
            <v>320526</v>
          </cell>
          <cell r="AB291">
            <v>229783</v>
          </cell>
          <cell r="AC291">
            <v>221497</v>
          </cell>
          <cell r="AD291">
            <v>245956</v>
          </cell>
          <cell r="AE291">
            <v>261011</v>
          </cell>
          <cell r="AF291">
            <v>261769</v>
          </cell>
          <cell r="AG291">
            <v>222105</v>
          </cell>
          <cell r="AI291">
            <v>340467</v>
          </cell>
        </row>
        <row r="292">
          <cell r="I292">
            <v>1369615</v>
          </cell>
          <cell r="J292">
            <v>1205308</v>
          </cell>
          <cell r="K292">
            <v>1268473</v>
          </cell>
          <cell r="L292">
            <v>1536471</v>
          </cell>
          <cell r="M292">
            <v>1404495</v>
          </cell>
          <cell r="N292">
            <v>1675146</v>
          </cell>
          <cell r="O292">
            <v>1275034</v>
          </cell>
          <cell r="P292">
            <v>1334160</v>
          </cell>
          <cell r="Q292">
            <v>1287155</v>
          </cell>
          <cell r="R292">
            <v>1624921</v>
          </cell>
          <cell r="S292">
            <v>1408111</v>
          </cell>
          <cell r="T292">
            <v>1628441</v>
          </cell>
          <cell r="U292">
            <v>1447533</v>
          </cell>
          <cell r="V292">
            <v>1255663</v>
          </cell>
          <cell r="W292">
            <v>1471499</v>
          </cell>
          <cell r="X292">
            <v>1342407</v>
          </cell>
          <cell r="Y292">
            <v>1480661</v>
          </cell>
          <cell r="Z292">
            <v>1645141</v>
          </cell>
          <cell r="AA292">
            <v>1416369</v>
          </cell>
          <cell r="AB292">
            <v>1324641</v>
          </cell>
          <cell r="AC292">
            <v>1109098</v>
          </cell>
          <cell r="AD292">
            <v>1575610</v>
          </cell>
          <cell r="AE292">
            <v>1442815</v>
          </cell>
          <cell r="AF292">
            <v>1584738</v>
          </cell>
          <cell r="AG292">
            <v>1313874</v>
          </cell>
          <cell r="AI292">
            <v>1205308</v>
          </cell>
        </row>
        <row r="293">
          <cell r="I293">
            <v>795625</v>
          </cell>
          <cell r="J293">
            <v>673549</v>
          </cell>
          <cell r="K293">
            <v>741206</v>
          </cell>
          <cell r="L293">
            <v>810943</v>
          </cell>
          <cell r="M293">
            <v>880474</v>
          </cell>
          <cell r="N293">
            <v>930742</v>
          </cell>
          <cell r="O293">
            <v>772612</v>
          </cell>
          <cell r="P293">
            <v>545427</v>
          </cell>
          <cell r="Q293">
            <v>544544</v>
          </cell>
          <cell r="R293">
            <v>679119</v>
          </cell>
          <cell r="S293">
            <v>626933</v>
          </cell>
          <cell r="T293">
            <v>726466</v>
          </cell>
          <cell r="U293">
            <v>615358</v>
          </cell>
          <cell r="V293">
            <v>573097</v>
          </cell>
          <cell r="W293">
            <v>628353</v>
          </cell>
          <cell r="X293">
            <v>591865</v>
          </cell>
          <cell r="Y293">
            <v>735032</v>
          </cell>
          <cell r="Z293">
            <v>790628</v>
          </cell>
          <cell r="AA293">
            <v>718055</v>
          </cell>
          <cell r="AB293">
            <v>577455</v>
          </cell>
          <cell r="AC293">
            <v>568183</v>
          </cell>
          <cell r="AD293">
            <v>694287</v>
          </cell>
          <cell r="AE293">
            <v>682385</v>
          </cell>
          <cell r="AF293">
            <v>698448</v>
          </cell>
          <cell r="AG293">
            <v>648607</v>
          </cell>
          <cell r="AI293">
            <v>673549</v>
          </cell>
        </row>
        <row r="294">
          <cell r="I294">
            <v>371453</v>
          </cell>
          <cell r="J294">
            <v>1006450</v>
          </cell>
          <cell r="K294">
            <v>1068268</v>
          </cell>
          <cell r="L294">
            <v>1251486</v>
          </cell>
          <cell r="M294">
            <v>1198601</v>
          </cell>
          <cell r="N294">
            <v>1405380</v>
          </cell>
          <cell r="O294">
            <v>1353596</v>
          </cell>
          <cell r="P294">
            <v>943671</v>
          </cell>
          <cell r="Q294">
            <v>959184</v>
          </cell>
          <cell r="R294">
            <v>1062388</v>
          </cell>
          <cell r="S294">
            <v>1141363</v>
          </cell>
          <cell r="T294">
            <v>1105201</v>
          </cell>
          <cell r="U294">
            <v>1168109</v>
          </cell>
          <cell r="V294">
            <v>918664</v>
          </cell>
          <cell r="W294">
            <v>1176508</v>
          </cell>
          <cell r="X294">
            <v>1160206</v>
          </cell>
          <cell r="Y294">
            <v>1214120</v>
          </cell>
          <cell r="Z294">
            <v>1658800</v>
          </cell>
          <cell r="AA294">
            <v>1087141</v>
          </cell>
          <cell r="AB294">
            <v>1057884</v>
          </cell>
          <cell r="AC294">
            <v>1034007</v>
          </cell>
          <cell r="AD294">
            <v>1108666</v>
          </cell>
          <cell r="AE294">
            <v>1229430</v>
          </cell>
          <cell r="AF294">
            <v>1108545</v>
          </cell>
          <cell r="AG294">
            <v>1024785</v>
          </cell>
          <cell r="AI294">
            <v>1006450</v>
          </cell>
        </row>
        <row r="295">
          <cell r="I295">
            <v>649107</v>
          </cell>
          <cell r="J295">
            <v>599385</v>
          </cell>
          <cell r="K295">
            <v>626397</v>
          </cell>
          <cell r="L295">
            <v>666274</v>
          </cell>
          <cell r="M295">
            <v>719027</v>
          </cell>
          <cell r="N295">
            <v>811844</v>
          </cell>
          <cell r="O295">
            <v>746508</v>
          </cell>
          <cell r="P295">
            <v>489757</v>
          </cell>
          <cell r="Q295">
            <v>495718</v>
          </cell>
          <cell r="R295">
            <v>567937</v>
          </cell>
          <cell r="S295">
            <v>542115</v>
          </cell>
          <cell r="T295">
            <v>651672</v>
          </cell>
          <cell r="U295">
            <v>549168</v>
          </cell>
          <cell r="V295">
            <v>513657</v>
          </cell>
          <cell r="W295">
            <v>550515</v>
          </cell>
          <cell r="X295">
            <v>522006</v>
          </cell>
          <cell r="Y295">
            <v>582864</v>
          </cell>
          <cell r="Z295">
            <v>656935</v>
          </cell>
          <cell r="AA295">
            <v>641833</v>
          </cell>
          <cell r="AB295">
            <v>474147</v>
          </cell>
          <cell r="AC295">
            <v>478701</v>
          </cell>
          <cell r="AD295">
            <v>594280</v>
          </cell>
          <cell r="AE295">
            <v>625788</v>
          </cell>
          <cell r="AF295">
            <v>578599</v>
          </cell>
          <cell r="AG295">
            <v>539505</v>
          </cell>
          <cell r="AI295">
            <v>599385</v>
          </cell>
        </row>
        <row r="296">
          <cell r="I296">
            <v>2139021</v>
          </cell>
          <cell r="J296">
            <v>1907276</v>
          </cell>
          <cell r="K296">
            <v>1866749</v>
          </cell>
          <cell r="L296">
            <v>2377231</v>
          </cell>
          <cell r="M296">
            <v>2244551</v>
          </cell>
          <cell r="N296">
            <v>2337945</v>
          </cell>
          <cell r="O296">
            <v>2605191</v>
          </cell>
          <cell r="P296">
            <v>539658</v>
          </cell>
          <cell r="Q296">
            <v>540228</v>
          </cell>
          <cell r="R296">
            <v>563431</v>
          </cell>
          <cell r="S296">
            <v>570445</v>
          </cell>
          <cell r="T296">
            <v>643036</v>
          </cell>
          <cell r="U296">
            <v>540176</v>
          </cell>
          <cell r="V296">
            <v>518800</v>
          </cell>
          <cell r="W296">
            <v>616297</v>
          </cell>
          <cell r="X296">
            <v>698553</v>
          </cell>
          <cell r="Y296">
            <v>831289</v>
          </cell>
          <cell r="Z296">
            <v>925270</v>
          </cell>
          <cell r="AA296">
            <v>928178</v>
          </cell>
          <cell r="AB296">
            <v>534823</v>
          </cell>
          <cell r="AC296">
            <v>539513</v>
          </cell>
          <cell r="AD296">
            <v>583159</v>
          </cell>
          <cell r="AE296">
            <v>614434</v>
          </cell>
          <cell r="AF296">
            <v>621486</v>
          </cell>
          <cell r="AG296">
            <v>543664</v>
          </cell>
          <cell r="AI296">
            <v>1907276</v>
          </cell>
        </row>
        <row r="297">
          <cell r="I297">
            <v>275832</v>
          </cell>
          <cell r="J297">
            <v>266792</v>
          </cell>
          <cell r="K297">
            <v>269982</v>
          </cell>
          <cell r="L297">
            <v>469382</v>
          </cell>
          <cell r="M297">
            <v>454409</v>
          </cell>
          <cell r="N297">
            <v>433910</v>
          </cell>
          <cell r="O297">
            <v>482056</v>
          </cell>
          <cell r="P297">
            <v>185324</v>
          </cell>
          <cell r="Q297">
            <v>147930</v>
          </cell>
          <cell r="R297">
            <v>167551</v>
          </cell>
          <cell r="S297">
            <v>158192</v>
          </cell>
          <cell r="T297">
            <v>180450</v>
          </cell>
          <cell r="U297">
            <v>137958</v>
          </cell>
          <cell r="V297">
            <v>139193</v>
          </cell>
          <cell r="W297">
            <v>182632</v>
          </cell>
          <cell r="X297">
            <v>193117</v>
          </cell>
          <cell r="Y297">
            <v>270952</v>
          </cell>
          <cell r="Z297">
            <v>283297</v>
          </cell>
          <cell r="AA297">
            <v>256766</v>
          </cell>
          <cell r="AB297">
            <v>166718</v>
          </cell>
          <cell r="AC297">
            <v>140752</v>
          </cell>
          <cell r="AD297">
            <v>135387</v>
          </cell>
          <cell r="AE297">
            <v>146097</v>
          </cell>
          <cell r="AF297">
            <v>154903</v>
          </cell>
          <cell r="AG297">
            <v>128943</v>
          </cell>
          <cell r="AI297">
            <v>266792</v>
          </cell>
        </row>
        <row r="298">
          <cell r="I298">
            <v>453203</v>
          </cell>
          <cell r="J298">
            <v>558954</v>
          </cell>
          <cell r="K298">
            <v>444244</v>
          </cell>
          <cell r="L298">
            <v>642621</v>
          </cell>
          <cell r="M298">
            <v>654040</v>
          </cell>
          <cell r="N298">
            <v>841357</v>
          </cell>
          <cell r="O298">
            <v>521283</v>
          </cell>
          <cell r="P298">
            <v>471536</v>
          </cell>
          <cell r="Q298">
            <v>410411</v>
          </cell>
          <cell r="R298">
            <v>462529</v>
          </cell>
          <cell r="S298">
            <v>488681</v>
          </cell>
          <cell r="T298">
            <v>484256</v>
          </cell>
          <cell r="U298">
            <v>470156</v>
          </cell>
          <cell r="V298">
            <v>454583</v>
          </cell>
          <cell r="W298">
            <v>493270</v>
          </cell>
          <cell r="X298">
            <v>510226</v>
          </cell>
          <cell r="Y298">
            <v>651841</v>
          </cell>
          <cell r="Z298">
            <v>889756</v>
          </cell>
          <cell r="AA298">
            <v>524925</v>
          </cell>
          <cell r="AB298">
            <v>492555</v>
          </cell>
          <cell r="AC298">
            <v>418347</v>
          </cell>
          <cell r="AD298">
            <v>429775</v>
          </cell>
          <cell r="AE298">
            <v>479685</v>
          </cell>
          <cell r="AF298">
            <v>459192</v>
          </cell>
          <cell r="AG298">
            <v>447147</v>
          </cell>
          <cell r="AI298">
            <v>558954</v>
          </cell>
        </row>
        <row r="299">
          <cell r="I299">
            <v>1016639</v>
          </cell>
          <cell r="J299">
            <v>1191647</v>
          </cell>
          <cell r="K299">
            <v>876124</v>
          </cell>
          <cell r="L299">
            <v>1308353</v>
          </cell>
          <cell r="M299">
            <v>1224014</v>
          </cell>
          <cell r="N299">
            <v>1205098</v>
          </cell>
          <cell r="O299">
            <v>1327025</v>
          </cell>
          <cell r="P299">
            <v>689226</v>
          </cell>
          <cell r="Q299">
            <v>659549</v>
          </cell>
          <cell r="R299">
            <v>709121</v>
          </cell>
          <cell r="S299">
            <v>714802</v>
          </cell>
          <cell r="T299">
            <v>658158</v>
          </cell>
          <cell r="U299">
            <v>602316</v>
          </cell>
          <cell r="V299">
            <v>525416</v>
          </cell>
          <cell r="W299">
            <v>589665</v>
          </cell>
          <cell r="X299">
            <v>626681</v>
          </cell>
          <cell r="Y299">
            <v>750778</v>
          </cell>
          <cell r="Z299">
            <v>756563</v>
          </cell>
          <cell r="AA299">
            <v>798198</v>
          </cell>
          <cell r="AB299">
            <v>631030</v>
          </cell>
          <cell r="AC299">
            <v>536873</v>
          </cell>
          <cell r="AD299">
            <v>628636</v>
          </cell>
          <cell r="AE299">
            <v>658301</v>
          </cell>
          <cell r="AF299">
            <v>654950</v>
          </cell>
          <cell r="AG299">
            <v>565459</v>
          </cell>
          <cell r="AI299">
            <v>1191647</v>
          </cell>
        </row>
        <row r="301"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71</v>
          </cell>
          <cell r="AI301">
            <v>0</v>
          </cell>
        </row>
        <row r="302">
          <cell r="I302">
            <v>2386</v>
          </cell>
          <cell r="J302">
            <v>3436</v>
          </cell>
          <cell r="K302">
            <v>6165</v>
          </cell>
          <cell r="L302">
            <v>7744</v>
          </cell>
          <cell r="M302">
            <v>7982</v>
          </cell>
          <cell r="N302">
            <v>8968</v>
          </cell>
          <cell r="O302">
            <v>5332</v>
          </cell>
          <cell r="P302">
            <v>2520</v>
          </cell>
          <cell r="Q302">
            <v>2632</v>
          </cell>
          <cell r="R302">
            <v>2613</v>
          </cell>
          <cell r="S302">
            <v>2804</v>
          </cell>
          <cell r="T302">
            <v>2633</v>
          </cell>
          <cell r="U302">
            <v>2506</v>
          </cell>
          <cell r="V302">
            <v>4116</v>
          </cell>
          <cell r="W302">
            <v>5245</v>
          </cell>
          <cell r="X302">
            <v>7504</v>
          </cell>
          <cell r="Y302">
            <v>8822</v>
          </cell>
          <cell r="Z302">
            <v>9288</v>
          </cell>
          <cell r="AA302">
            <v>5412</v>
          </cell>
          <cell r="AB302">
            <v>3280</v>
          </cell>
          <cell r="AC302">
            <v>2832</v>
          </cell>
          <cell r="AD302">
            <v>2813</v>
          </cell>
          <cell r="AE302">
            <v>3444</v>
          </cell>
          <cell r="AF302">
            <v>993</v>
          </cell>
          <cell r="AG302">
            <v>2506</v>
          </cell>
          <cell r="AI302">
            <v>3436</v>
          </cell>
        </row>
        <row r="303">
          <cell r="I303">
            <v>20520</v>
          </cell>
          <cell r="J303">
            <v>23580</v>
          </cell>
          <cell r="K303">
            <v>25920</v>
          </cell>
          <cell r="L303">
            <v>28500</v>
          </cell>
          <cell r="M303">
            <v>31920</v>
          </cell>
          <cell r="N303">
            <v>23400</v>
          </cell>
          <cell r="O303">
            <v>19380</v>
          </cell>
          <cell r="P303">
            <v>14340</v>
          </cell>
          <cell r="Q303">
            <v>17220</v>
          </cell>
          <cell r="R303">
            <v>25380</v>
          </cell>
          <cell r="S303">
            <v>21180</v>
          </cell>
          <cell r="T303">
            <v>20520</v>
          </cell>
          <cell r="U303">
            <v>25920</v>
          </cell>
          <cell r="V303">
            <v>30000</v>
          </cell>
          <cell r="W303">
            <v>31980</v>
          </cell>
          <cell r="X303">
            <v>31440</v>
          </cell>
          <cell r="Y303">
            <v>30540</v>
          </cell>
          <cell r="Z303">
            <v>27900</v>
          </cell>
          <cell r="AA303">
            <v>29760</v>
          </cell>
          <cell r="AB303">
            <v>22980</v>
          </cell>
          <cell r="AC303">
            <v>20160</v>
          </cell>
          <cell r="AD303">
            <v>26820</v>
          </cell>
          <cell r="AE303">
            <v>29520</v>
          </cell>
          <cell r="AF303">
            <v>27000</v>
          </cell>
          <cell r="AG303">
            <v>27900</v>
          </cell>
          <cell r="AI303">
            <v>23580</v>
          </cell>
        </row>
        <row r="304">
          <cell r="I304">
            <v>566</v>
          </cell>
          <cell r="J304">
            <v>2529</v>
          </cell>
          <cell r="K304">
            <v>4013</v>
          </cell>
          <cell r="L304">
            <v>3910</v>
          </cell>
          <cell r="M304">
            <v>3892</v>
          </cell>
          <cell r="N304">
            <v>4523</v>
          </cell>
          <cell r="O304">
            <v>1435</v>
          </cell>
          <cell r="P304">
            <v>1769</v>
          </cell>
          <cell r="Q304">
            <v>605</v>
          </cell>
          <cell r="R304">
            <v>717</v>
          </cell>
          <cell r="S304">
            <v>569</v>
          </cell>
          <cell r="T304">
            <v>529</v>
          </cell>
          <cell r="U304">
            <v>631</v>
          </cell>
          <cell r="V304">
            <v>2330</v>
          </cell>
          <cell r="W304">
            <v>3203</v>
          </cell>
          <cell r="X304">
            <v>3437</v>
          </cell>
          <cell r="Y304">
            <v>4143</v>
          </cell>
          <cell r="Z304">
            <v>5570</v>
          </cell>
          <cell r="AA304">
            <v>3023</v>
          </cell>
          <cell r="AB304">
            <v>1650</v>
          </cell>
          <cell r="AC304">
            <v>918</v>
          </cell>
          <cell r="AD304">
            <v>950</v>
          </cell>
          <cell r="AE304">
            <v>979</v>
          </cell>
          <cell r="AF304">
            <v>852</v>
          </cell>
          <cell r="AG304">
            <v>841</v>
          </cell>
          <cell r="AI304">
            <v>2529</v>
          </cell>
        </row>
        <row r="305"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I305">
            <v>0</v>
          </cell>
        </row>
        <row r="306">
          <cell r="I306">
            <v>6882</v>
          </cell>
          <cell r="J306">
            <v>10827</v>
          </cell>
          <cell r="K306">
            <v>14754</v>
          </cell>
          <cell r="L306">
            <v>18795</v>
          </cell>
          <cell r="M306">
            <v>17271</v>
          </cell>
          <cell r="N306">
            <v>52289</v>
          </cell>
          <cell r="O306">
            <v>66131</v>
          </cell>
          <cell r="P306">
            <v>42005</v>
          </cell>
          <cell r="Q306">
            <v>47686</v>
          </cell>
          <cell r="R306">
            <v>48446</v>
          </cell>
          <cell r="S306">
            <v>45465</v>
          </cell>
          <cell r="T306">
            <v>45352</v>
          </cell>
          <cell r="U306">
            <v>52002</v>
          </cell>
          <cell r="V306">
            <v>45387</v>
          </cell>
          <cell r="W306">
            <v>62754</v>
          </cell>
          <cell r="X306">
            <v>122475</v>
          </cell>
          <cell r="Y306">
            <v>75422</v>
          </cell>
          <cell r="Z306">
            <v>63217</v>
          </cell>
          <cell r="AA306">
            <v>55571</v>
          </cell>
          <cell r="AB306">
            <v>50645</v>
          </cell>
          <cell r="AC306">
            <v>62086</v>
          </cell>
          <cell r="AD306">
            <v>66686</v>
          </cell>
          <cell r="AE306">
            <v>57945</v>
          </cell>
          <cell r="AF306">
            <v>65512</v>
          </cell>
          <cell r="AG306">
            <v>62562</v>
          </cell>
          <cell r="AI306">
            <v>10827</v>
          </cell>
        </row>
        <row r="307">
          <cell r="I307">
            <v>13861</v>
          </cell>
          <cell r="J307">
            <v>29370</v>
          </cell>
          <cell r="K307">
            <v>5480</v>
          </cell>
          <cell r="L307">
            <v>7237</v>
          </cell>
          <cell r="M307">
            <v>6275</v>
          </cell>
          <cell r="N307">
            <v>10252</v>
          </cell>
          <cell r="O307">
            <v>36392</v>
          </cell>
          <cell r="P307">
            <v>17132</v>
          </cell>
          <cell r="Q307">
            <v>24956</v>
          </cell>
          <cell r="R307">
            <v>40273</v>
          </cell>
          <cell r="S307">
            <v>16029</v>
          </cell>
          <cell r="T307">
            <v>12125</v>
          </cell>
          <cell r="U307">
            <v>15432</v>
          </cell>
          <cell r="V307">
            <v>20374</v>
          </cell>
          <cell r="W307">
            <v>8804</v>
          </cell>
          <cell r="X307">
            <v>5388</v>
          </cell>
          <cell r="Y307">
            <v>7537</v>
          </cell>
          <cell r="Z307">
            <v>8350</v>
          </cell>
          <cell r="AA307">
            <v>22353</v>
          </cell>
          <cell r="AB307">
            <v>23854</v>
          </cell>
          <cell r="AC307">
            <v>22043</v>
          </cell>
          <cell r="AD307">
            <v>24890</v>
          </cell>
          <cell r="AE307">
            <v>44018</v>
          </cell>
          <cell r="AF307">
            <v>35328</v>
          </cell>
          <cell r="AG307">
            <v>24479</v>
          </cell>
          <cell r="AI307">
            <v>29370</v>
          </cell>
        </row>
        <row r="308"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I308">
            <v>0</v>
          </cell>
        </row>
        <row r="309">
          <cell r="I309">
            <v>3440</v>
          </cell>
          <cell r="J309">
            <v>3840</v>
          </cell>
          <cell r="K309">
            <v>6920</v>
          </cell>
          <cell r="L309">
            <v>14160</v>
          </cell>
          <cell r="M309">
            <v>15240</v>
          </cell>
          <cell r="N309">
            <v>10480</v>
          </cell>
          <cell r="O309">
            <v>8360</v>
          </cell>
          <cell r="P309">
            <v>4680</v>
          </cell>
          <cell r="Q309">
            <v>3840</v>
          </cell>
          <cell r="R309">
            <v>3880</v>
          </cell>
          <cell r="S309">
            <v>3440</v>
          </cell>
          <cell r="T309">
            <v>2720</v>
          </cell>
          <cell r="U309">
            <v>2920</v>
          </cell>
          <cell r="V309">
            <v>2800</v>
          </cell>
          <cell r="W309">
            <v>11880</v>
          </cell>
          <cell r="X309">
            <v>12760</v>
          </cell>
          <cell r="Y309">
            <v>21920</v>
          </cell>
          <cell r="Z309">
            <v>12240</v>
          </cell>
          <cell r="AA309">
            <v>7960</v>
          </cell>
          <cell r="AB309">
            <v>3840</v>
          </cell>
          <cell r="AC309">
            <v>3040</v>
          </cell>
          <cell r="AD309">
            <v>3360</v>
          </cell>
          <cell r="AE309">
            <v>4200</v>
          </cell>
          <cell r="AF309">
            <v>3600</v>
          </cell>
          <cell r="AG309">
            <v>4160</v>
          </cell>
          <cell r="AI309">
            <v>3840</v>
          </cell>
        </row>
        <row r="310">
          <cell r="I310">
            <v>10068</v>
          </cell>
          <cell r="J310">
            <v>8008</v>
          </cell>
          <cell r="K310">
            <v>9849</v>
          </cell>
          <cell r="L310">
            <v>10480</v>
          </cell>
          <cell r="M310">
            <v>10812</v>
          </cell>
          <cell r="N310">
            <v>10512</v>
          </cell>
          <cell r="O310">
            <v>7144</v>
          </cell>
          <cell r="P310">
            <v>6880</v>
          </cell>
          <cell r="Q310">
            <v>6144</v>
          </cell>
          <cell r="R310">
            <v>5707</v>
          </cell>
          <cell r="S310">
            <v>6968</v>
          </cell>
          <cell r="T310">
            <v>6467</v>
          </cell>
          <cell r="U310">
            <v>6452</v>
          </cell>
          <cell r="V310">
            <v>6072</v>
          </cell>
          <cell r="W310">
            <v>7769</v>
          </cell>
          <cell r="X310">
            <v>6848</v>
          </cell>
          <cell r="Y310">
            <v>7884</v>
          </cell>
          <cell r="Z310">
            <v>8816</v>
          </cell>
          <cell r="AA310">
            <v>8376</v>
          </cell>
          <cell r="AB310">
            <v>6896</v>
          </cell>
          <cell r="AC310">
            <v>6032</v>
          </cell>
          <cell r="AD310">
            <v>7266</v>
          </cell>
          <cell r="AE310">
            <v>6826</v>
          </cell>
          <cell r="AF310">
            <v>6138</v>
          </cell>
          <cell r="AG310">
            <v>6831</v>
          </cell>
          <cell r="AI310">
            <v>8008</v>
          </cell>
        </row>
        <row r="311"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I311">
            <v>0</v>
          </cell>
        </row>
        <row r="312">
          <cell r="I312">
            <v>148120</v>
          </cell>
          <cell r="J312">
            <v>139640</v>
          </cell>
          <cell r="K312">
            <v>132480</v>
          </cell>
          <cell r="L312">
            <v>122120</v>
          </cell>
          <cell r="M312">
            <v>121920</v>
          </cell>
          <cell r="N312">
            <v>131600</v>
          </cell>
          <cell r="O312">
            <v>149960</v>
          </cell>
          <cell r="P312">
            <v>116440</v>
          </cell>
          <cell r="Q312">
            <v>119960</v>
          </cell>
          <cell r="R312">
            <v>128120</v>
          </cell>
          <cell r="S312">
            <v>130360</v>
          </cell>
          <cell r="T312">
            <v>139440</v>
          </cell>
          <cell r="U312">
            <v>116560</v>
          </cell>
          <cell r="V312">
            <v>109280</v>
          </cell>
          <cell r="W312">
            <v>121240</v>
          </cell>
          <cell r="X312">
            <v>121520</v>
          </cell>
          <cell r="Y312">
            <v>123880</v>
          </cell>
          <cell r="Z312">
            <v>124840</v>
          </cell>
          <cell r="AA312">
            <v>121680</v>
          </cell>
          <cell r="AB312">
            <v>113960</v>
          </cell>
          <cell r="AC312">
            <v>107120</v>
          </cell>
          <cell r="AD312">
            <v>127640</v>
          </cell>
          <cell r="AE312">
            <v>123400</v>
          </cell>
          <cell r="AF312">
            <v>122920</v>
          </cell>
          <cell r="AG312">
            <v>105360</v>
          </cell>
          <cell r="AI312">
            <v>139640</v>
          </cell>
        </row>
        <row r="313"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5400</v>
          </cell>
          <cell r="AE313">
            <v>5160</v>
          </cell>
          <cell r="AF313">
            <v>5800</v>
          </cell>
          <cell r="AG313">
            <v>5000</v>
          </cell>
          <cell r="AI313">
            <v>0</v>
          </cell>
        </row>
        <row r="314">
          <cell r="I314">
            <v>487375</v>
          </cell>
          <cell r="J314">
            <v>527389</v>
          </cell>
          <cell r="K314">
            <v>1607729</v>
          </cell>
          <cell r="L314">
            <v>1651058</v>
          </cell>
          <cell r="M314">
            <v>1738280</v>
          </cell>
          <cell r="N314">
            <v>1721902</v>
          </cell>
          <cell r="O314">
            <v>1875366</v>
          </cell>
          <cell r="P314">
            <v>1639589</v>
          </cell>
          <cell r="Q314">
            <v>1514998</v>
          </cell>
          <cell r="R314">
            <v>1824556</v>
          </cell>
          <cell r="S314">
            <v>1688626</v>
          </cell>
          <cell r="T314">
            <v>1813057</v>
          </cell>
          <cell r="U314">
            <v>1643313</v>
          </cell>
          <cell r="V314">
            <v>1499947</v>
          </cell>
          <cell r="W314">
            <v>1806876</v>
          </cell>
          <cell r="X314">
            <v>1781930</v>
          </cell>
          <cell r="Y314">
            <v>1792371</v>
          </cell>
          <cell r="Z314">
            <v>1958672</v>
          </cell>
          <cell r="AA314">
            <v>1802178</v>
          </cell>
          <cell r="AB314">
            <v>1683966</v>
          </cell>
          <cell r="AC314">
            <v>1634380</v>
          </cell>
          <cell r="AD314">
            <v>1692010</v>
          </cell>
          <cell r="AE314">
            <v>1618190</v>
          </cell>
          <cell r="AF314">
            <v>1571434</v>
          </cell>
          <cell r="AG314">
            <v>1733380</v>
          </cell>
          <cell r="AI314">
            <v>527389</v>
          </cell>
        </row>
        <row r="315"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I315">
            <v>0</v>
          </cell>
        </row>
        <row r="316">
          <cell r="I316">
            <v>20074</v>
          </cell>
          <cell r="J316">
            <v>21157</v>
          </cell>
          <cell r="K316">
            <v>21182</v>
          </cell>
          <cell r="L316">
            <v>22072</v>
          </cell>
          <cell r="M316">
            <v>21831</v>
          </cell>
          <cell r="N316">
            <v>22724</v>
          </cell>
          <cell r="O316">
            <v>18966</v>
          </cell>
          <cell r="P316">
            <v>19360</v>
          </cell>
          <cell r="Q316">
            <v>18225</v>
          </cell>
          <cell r="R316">
            <v>20107</v>
          </cell>
          <cell r="S316">
            <v>21928</v>
          </cell>
          <cell r="T316">
            <v>18867</v>
          </cell>
          <cell r="U316">
            <v>17173</v>
          </cell>
          <cell r="V316">
            <v>16153</v>
          </cell>
          <cell r="W316">
            <v>19529</v>
          </cell>
          <cell r="X316">
            <v>22127</v>
          </cell>
          <cell r="Y316">
            <v>20525</v>
          </cell>
          <cell r="Z316">
            <v>18737</v>
          </cell>
          <cell r="AA316">
            <v>18584</v>
          </cell>
          <cell r="AB316">
            <v>19520</v>
          </cell>
          <cell r="AC316">
            <v>17825</v>
          </cell>
          <cell r="AD316">
            <v>18347</v>
          </cell>
          <cell r="AE316">
            <v>17448</v>
          </cell>
          <cell r="AF316">
            <v>13347</v>
          </cell>
          <cell r="AG316">
            <v>15573</v>
          </cell>
          <cell r="AI316">
            <v>21157</v>
          </cell>
        </row>
        <row r="317">
          <cell r="I317">
            <v>49393</v>
          </cell>
          <cell r="J317">
            <v>38793</v>
          </cell>
          <cell r="K317">
            <v>32489</v>
          </cell>
          <cell r="L317">
            <v>28207</v>
          </cell>
          <cell r="M317">
            <v>30485</v>
          </cell>
          <cell r="N317">
            <v>30837</v>
          </cell>
          <cell r="O317">
            <v>29144</v>
          </cell>
          <cell r="P317">
            <v>32640</v>
          </cell>
          <cell r="Q317">
            <v>41385</v>
          </cell>
          <cell r="R317">
            <v>53987</v>
          </cell>
          <cell r="S317">
            <v>56028</v>
          </cell>
          <cell r="T317">
            <v>64427</v>
          </cell>
          <cell r="U317">
            <v>52553</v>
          </cell>
          <cell r="V317">
            <v>42533</v>
          </cell>
          <cell r="W317">
            <v>32329</v>
          </cell>
          <cell r="X317">
            <v>32667</v>
          </cell>
          <cell r="Y317">
            <v>35885</v>
          </cell>
          <cell r="Z317">
            <v>35357</v>
          </cell>
          <cell r="AA317">
            <v>37844</v>
          </cell>
          <cell r="AB317">
            <v>39540</v>
          </cell>
          <cell r="AC317">
            <v>41425</v>
          </cell>
          <cell r="AD317">
            <v>64667</v>
          </cell>
          <cell r="AE317">
            <v>71528</v>
          </cell>
          <cell r="AF317">
            <v>71227</v>
          </cell>
          <cell r="AG317">
            <v>60613</v>
          </cell>
          <cell r="AI317">
            <v>38793</v>
          </cell>
        </row>
        <row r="318">
          <cell r="I318">
            <v>6019</v>
          </cell>
          <cell r="J318">
            <v>5323</v>
          </cell>
          <cell r="K318">
            <v>5873</v>
          </cell>
          <cell r="L318">
            <v>8973</v>
          </cell>
          <cell r="M318">
            <v>8107</v>
          </cell>
          <cell r="N318">
            <v>7505</v>
          </cell>
          <cell r="O318">
            <v>8706</v>
          </cell>
          <cell r="P318">
            <v>6499</v>
          </cell>
          <cell r="Q318">
            <v>5538</v>
          </cell>
          <cell r="R318">
            <v>6213</v>
          </cell>
          <cell r="S318">
            <v>5947</v>
          </cell>
          <cell r="T318">
            <v>5438</v>
          </cell>
          <cell r="U318">
            <v>6744</v>
          </cell>
          <cell r="V318">
            <v>5480</v>
          </cell>
          <cell r="W318">
            <v>7982</v>
          </cell>
          <cell r="X318">
            <v>7097</v>
          </cell>
          <cell r="Y318">
            <v>9739</v>
          </cell>
          <cell r="Z318">
            <v>8632</v>
          </cell>
          <cell r="AA318">
            <v>9061</v>
          </cell>
          <cell r="AB318">
            <v>6282</v>
          </cell>
          <cell r="AC318">
            <v>4979</v>
          </cell>
          <cell r="AD318">
            <v>5577</v>
          </cell>
          <cell r="AE318">
            <v>5361</v>
          </cell>
          <cell r="AF318">
            <v>5134</v>
          </cell>
          <cell r="AG318">
            <v>6146</v>
          </cell>
          <cell r="AI318">
            <v>5323</v>
          </cell>
        </row>
        <row r="319"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I319">
            <v>0</v>
          </cell>
        </row>
        <row r="320">
          <cell r="I320">
            <v>2830500</v>
          </cell>
          <cell r="J320">
            <v>102300</v>
          </cell>
          <cell r="K320">
            <v>100500</v>
          </cell>
          <cell r="L320">
            <v>90900</v>
          </cell>
          <cell r="M320">
            <v>116100</v>
          </cell>
          <cell r="N320">
            <v>117600</v>
          </cell>
          <cell r="O320">
            <v>145500</v>
          </cell>
          <cell r="P320">
            <v>119700</v>
          </cell>
          <cell r="Q320">
            <v>103801</v>
          </cell>
          <cell r="R320">
            <v>97563</v>
          </cell>
          <cell r="S320">
            <v>103865</v>
          </cell>
          <cell r="T320">
            <v>101518</v>
          </cell>
          <cell r="U320">
            <v>108398</v>
          </cell>
          <cell r="V320">
            <v>113927</v>
          </cell>
          <cell r="W320">
            <v>120306</v>
          </cell>
          <cell r="X320">
            <v>120299</v>
          </cell>
          <cell r="Y320">
            <v>118503</v>
          </cell>
          <cell r="Z320">
            <v>127627</v>
          </cell>
          <cell r="AA320">
            <v>118431</v>
          </cell>
          <cell r="AB320">
            <v>103309</v>
          </cell>
          <cell r="AC320">
            <v>98911</v>
          </cell>
          <cell r="AD320">
            <v>96309</v>
          </cell>
          <cell r="AE320">
            <v>13907</v>
          </cell>
          <cell r="AF320">
            <v>6613</v>
          </cell>
          <cell r="AG320">
            <v>3286</v>
          </cell>
          <cell r="AI320">
            <v>102300</v>
          </cell>
        </row>
        <row r="322">
          <cell r="I322">
            <v>824194</v>
          </cell>
          <cell r="J322">
            <v>844928</v>
          </cell>
          <cell r="K322">
            <v>1069608</v>
          </cell>
          <cell r="L322">
            <v>1190564</v>
          </cell>
          <cell r="M322">
            <v>1050456</v>
          </cell>
          <cell r="N322">
            <v>952116</v>
          </cell>
          <cell r="O322">
            <v>870411</v>
          </cell>
          <cell r="P322">
            <v>804427</v>
          </cell>
          <cell r="Q322">
            <v>808266</v>
          </cell>
          <cell r="R322">
            <v>801437</v>
          </cell>
          <cell r="S322">
            <v>697702</v>
          </cell>
          <cell r="T322">
            <v>730077</v>
          </cell>
          <cell r="U322">
            <v>730400</v>
          </cell>
          <cell r="V322">
            <v>846202</v>
          </cell>
          <cell r="W322">
            <v>921680</v>
          </cell>
          <cell r="X322">
            <v>1045531</v>
          </cell>
          <cell r="Y322">
            <v>775491</v>
          </cell>
          <cell r="Z322">
            <v>872521</v>
          </cell>
          <cell r="AA322">
            <v>866312</v>
          </cell>
          <cell r="AB322">
            <v>803770</v>
          </cell>
          <cell r="AC322">
            <v>739893</v>
          </cell>
          <cell r="AD322">
            <v>704546</v>
          </cell>
          <cell r="AE322">
            <v>617024</v>
          </cell>
          <cell r="AF322">
            <v>648382</v>
          </cell>
          <cell r="AG322">
            <v>695633</v>
          </cell>
          <cell r="AI322">
            <v>844928</v>
          </cell>
        </row>
        <row r="323">
          <cell r="I323">
            <v>3558000</v>
          </cell>
          <cell r="J323">
            <v>3454500</v>
          </cell>
          <cell r="K323">
            <v>4188000</v>
          </cell>
          <cell r="L323">
            <v>3894000</v>
          </cell>
          <cell r="M323">
            <v>3594000</v>
          </cell>
          <cell r="N323">
            <v>3966000</v>
          </cell>
          <cell r="O323">
            <v>3453000</v>
          </cell>
          <cell r="P323">
            <v>3610500</v>
          </cell>
          <cell r="Q323">
            <v>3184500</v>
          </cell>
          <cell r="R323">
            <v>3069000</v>
          </cell>
          <cell r="S323">
            <v>2469000</v>
          </cell>
          <cell r="T323">
            <v>3184500</v>
          </cell>
          <cell r="U323">
            <v>2989500</v>
          </cell>
          <cell r="V323">
            <v>3541500</v>
          </cell>
          <cell r="W323">
            <v>3240000</v>
          </cell>
          <cell r="X323">
            <v>2943000</v>
          </cell>
          <cell r="Y323">
            <v>3460500</v>
          </cell>
          <cell r="Z323">
            <v>3316500</v>
          </cell>
          <cell r="AA323">
            <v>3223500</v>
          </cell>
          <cell r="AB323">
            <v>2586000</v>
          </cell>
          <cell r="AC323">
            <v>2629500</v>
          </cell>
          <cell r="AD323">
            <v>2673000</v>
          </cell>
          <cell r="AE323">
            <v>2550000</v>
          </cell>
          <cell r="AF323">
            <v>2511000</v>
          </cell>
          <cell r="AG323">
            <v>2842500</v>
          </cell>
          <cell r="AI323">
            <v>3454500</v>
          </cell>
        </row>
        <row r="324"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2560</v>
          </cell>
          <cell r="W324">
            <v>4480</v>
          </cell>
          <cell r="X324">
            <v>640</v>
          </cell>
          <cell r="Y324">
            <v>640</v>
          </cell>
          <cell r="Z324">
            <v>1600</v>
          </cell>
          <cell r="AA324">
            <v>3520</v>
          </cell>
          <cell r="AB324">
            <v>2880</v>
          </cell>
          <cell r="AC324">
            <v>2880</v>
          </cell>
          <cell r="AD324">
            <v>2560</v>
          </cell>
          <cell r="AE324">
            <v>2240</v>
          </cell>
          <cell r="AF324">
            <v>2880</v>
          </cell>
          <cell r="AG324">
            <v>1600</v>
          </cell>
          <cell r="AI324">
            <v>0</v>
          </cell>
        </row>
        <row r="325">
          <cell r="I325">
            <v>1011678</v>
          </cell>
          <cell r="J325">
            <v>1042752</v>
          </cell>
          <cell r="K325">
            <v>1213632</v>
          </cell>
          <cell r="L325">
            <v>1237203</v>
          </cell>
          <cell r="M325">
            <v>1120669</v>
          </cell>
          <cell r="N325">
            <v>1216869</v>
          </cell>
          <cell r="O325">
            <v>991823</v>
          </cell>
          <cell r="P325">
            <v>864800</v>
          </cell>
          <cell r="Q325">
            <v>898115</v>
          </cell>
          <cell r="R325">
            <v>900828</v>
          </cell>
          <cell r="S325">
            <v>744809</v>
          </cell>
          <cell r="T325">
            <v>864873</v>
          </cell>
          <cell r="U325">
            <v>897257</v>
          </cell>
          <cell r="V325">
            <v>1007696</v>
          </cell>
          <cell r="W325">
            <v>1274282</v>
          </cell>
          <cell r="X325">
            <v>1300448</v>
          </cell>
          <cell r="Y325">
            <v>1336178</v>
          </cell>
          <cell r="Z325">
            <v>1394591</v>
          </cell>
          <cell r="AA325">
            <v>1105113</v>
          </cell>
          <cell r="AB325">
            <v>967019</v>
          </cell>
          <cell r="AC325">
            <v>997296</v>
          </cell>
          <cell r="AD325">
            <v>948279</v>
          </cell>
          <cell r="AE325">
            <v>841696</v>
          </cell>
          <cell r="AF325">
            <v>819726</v>
          </cell>
          <cell r="AG325">
            <v>852481</v>
          </cell>
          <cell r="AI325">
            <v>1042752</v>
          </cell>
        </row>
        <row r="326"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I326">
            <v>0</v>
          </cell>
        </row>
        <row r="327"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I327">
            <v>0</v>
          </cell>
        </row>
        <row r="328"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I328">
            <v>0</v>
          </cell>
        </row>
        <row r="329">
          <cell r="I329">
            <v>4</v>
          </cell>
          <cell r="J329">
            <v>8</v>
          </cell>
          <cell r="K329">
            <v>2</v>
          </cell>
          <cell r="L329">
            <v>5</v>
          </cell>
          <cell r="M329">
            <v>2</v>
          </cell>
          <cell r="N329">
            <v>30</v>
          </cell>
          <cell r="O329">
            <v>7</v>
          </cell>
          <cell r="P329">
            <v>4</v>
          </cell>
          <cell r="Q329">
            <v>6</v>
          </cell>
          <cell r="R329">
            <v>9</v>
          </cell>
          <cell r="S329">
            <v>10</v>
          </cell>
          <cell r="T329">
            <v>2</v>
          </cell>
          <cell r="U329">
            <v>21</v>
          </cell>
          <cell r="V329">
            <v>4</v>
          </cell>
          <cell r="W329">
            <v>30</v>
          </cell>
          <cell r="X329">
            <v>6</v>
          </cell>
          <cell r="Y329">
            <v>3</v>
          </cell>
          <cell r="Z329">
            <v>2</v>
          </cell>
          <cell r="AA329">
            <v>0</v>
          </cell>
          <cell r="AB329">
            <v>0</v>
          </cell>
          <cell r="AC329">
            <v>0</v>
          </cell>
          <cell r="AD329">
            <v>7</v>
          </cell>
          <cell r="AE329">
            <v>2</v>
          </cell>
          <cell r="AF329">
            <v>10</v>
          </cell>
          <cell r="AG329">
            <v>16</v>
          </cell>
          <cell r="AI329">
            <v>8</v>
          </cell>
        </row>
        <row r="330">
          <cell r="I330">
            <v>474800</v>
          </cell>
          <cell r="J330">
            <v>546800</v>
          </cell>
          <cell r="K330">
            <v>598800</v>
          </cell>
          <cell r="L330">
            <v>540800</v>
          </cell>
          <cell r="M330">
            <v>518800</v>
          </cell>
          <cell r="N330">
            <v>603600</v>
          </cell>
          <cell r="O330">
            <v>514400</v>
          </cell>
          <cell r="P330">
            <v>494800</v>
          </cell>
          <cell r="Q330">
            <v>583200</v>
          </cell>
          <cell r="R330">
            <v>521200</v>
          </cell>
          <cell r="S330">
            <v>546800</v>
          </cell>
          <cell r="T330">
            <v>504800</v>
          </cell>
          <cell r="U330">
            <v>587200</v>
          </cell>
          <cell r="V330">
            <v>531200</v>
          </cell>
          <cell r="W330">
            <v>682800</v>
          </cell>
          <cell r="X330">
            <v>732400</v>
          </cell>
          <cell r="Y330">
            <v>738000</v>
          </cell>
          <cell r="Z330">
            <v>832800</v>
          </cell>
          <cell r="AA330">
            <v>778000</v>
          </cell>
          <cell r="AB330">
            <v>756400</v>
          </cell>
          <cell r="AC330">
            <v>730000</v>
          </cell>
          <cell r="AD330">
            <v>683200</v>
          </cell>
          <cell r="AE330">
            <v>761200</v>
          </cell>
          <cell r="AF330">
            <v>747600</v>
          </cell>
          <cell r="AG330">
            <v>717200</v>
          </cell>
          <cell r="AI330">
            <v>546800</v>
          </cell>
        </row>
        <row r="331">
          <cell r="I331">
            <v>1037</v>
          </cell>
          <cell r="J331">
            <v>1459</v>
          </cell>
          <cell r="K331">
            <v>3462</v>
          </cell>
          <cell r="L331">
            <v>4842</v>
          </cell>
          <cell r="M331">
            <v>5814</v>
          </cell>
          <cell r="N331">
            <v>4440</v>
          </cell>
          <cell r="O331">
            <v>6553</v>
          </cell>
          <cell r="P331">
            <v>3313</v>
          </cell>
          <cell r="Q331">
            <v>2624</v>
          </cell>
          <cell r="R331">
            <v>2055</v>
          </cell>
          <cell r="S331">
            <v>872</v>
          </cell>
          <cell r="T331">
            <v>760</v>
          </cell>
          <cell r="U331">
            <v>854</v>
          </cell>
          <cell r="V331">
            <v>865</v>
          </cell>
          <cell r="W331">
            <v>2523</v>
          </cell>
          <cell r="X331">
            <v>3962</v>
          </cell>
          <cell r="Y331">
            <v>7505</v>
          </cell>
          <cell r="Z331">
            <v>2518</v>
          </cell>
          <cell r="AA331">
            <v>2617</v>
          </cell>
          <cell r="AB331">
            <v>530</v>
          </cell>
          <cell r="AC331">
            <v>482</v>
          </cell>
          <cell r="AD331">
            <v>663</v>
          </cell>
          <cell r="AE331">
            <v>701</v>
          </cell>
          <cell r="AF331">
            <v>770</v>
          </cell>
          <cell r="AG331">
            <v>527</v>
          </cell>
          <cell r="AI331">
            <v>1459</v>
          </cell>
        </row>
        <row r="332">
          <cell r="I332">
            <v>2496633</v>
          </cell>
          <cell r="J332">
            <v>2711856</v>
          </cell>
          <cell r="K332">
            <v>2881245</v>
          </cell>
          <cell r="L332">
            <v>3341153</v>
          </cell>
          <cell r="M332">
            <v>2861865</v>
          </cell>
          <cell r="N332">
            <v>3412291</v>
          </cell>
          <cell r="O332">
            <v>3193162</v>
          </cell>
          <cell r="P332">
            <v>2574515</v>
          </cell>
          <cell r="Q332">
            <v>2472712</v>
          </cell>
          <cell r="R332">
            <v>2498822</v>
          </cell>
          <cell r="S332">
            <v>3226381</v>
          </cell>
          <cell r="T332">
            <v>2895773</v>
          </cell>
          <cell r="U332">
            <v>3120933</v>
          </cell>
          <cell r="V332">
            <v>3008802</v>
          </cell>
          <cell r="W332">
            <v>3076077</v>
          </cell>
          <cell r="X332">
            <v>3331520</v>
          </cell>
          <cell r="Y332">
            <v>3255434</v>
          </cell>
          <cell r="Z332">
            <v>2296460</v>
          </cell>
          <cell r="AA332">
            <v>2540949</v>
          </cell>
          <cell r="AB332">
            <v>2358675</v>
          </cell>
          <cell r="AC332">
            <v>2257769</v>
          </cell>
          <cell r="AD332">
            <v>2220384</v>
          </cell>
          <cell r="AE332">
            <v>2234440</v>
          </cell>
          <cell r="AF332">
            <v>2204306</v>
          </cell>
          <cell r="AG332">
            <v>2080909</v>
          </cell>
          <cell r="AI332">
            <v>2711856</v>
          </cell>
        </row>
        <row r="333">
          <cell r="I333">
            <v>7872</v>
          </cell>
          <cell r="J333">
            <v>8736</v>
          </cell>
          <cell r="K333">
            <v>9312</v>
          </cell>
          <cell r="L333">
            <v>9312</v>
          </cell>
          <cell r="M333">
            <v>9792</v>
          </cell>
          <cell r="N333">
            <v>11616</v>
          </cell>
          <cell r="O333">
            <v>9600</v>
          </cell>
          <cell r="P333">
            <v>10752</v>
          </cell>
          <cell r="Q333">
            <v>7872</v>
          </cell>
          <cell r="R333">
            <v>7776</v>
          </cell>
          <cell r="S333">
            <v>7200</v>
          </cell>
          <cell r="T333">
            <v>8544</v>
          </cell>
          <cell r="U333">
            <v>9024</v>
          </cell>
          <cell r="V333">
            <v>8064</v>
          </cell>
          <cell r="W333">
            <v>12096</v>
          </cell>
          <cell r="X333">
            <v>10656</v>
          </cell>
          <cell r="Y333">
            <v>12672</v>
          </cell>
          <cell r="Z333">
            <v>13056</v>
          </cell>
          <cell r="AA333">
            <v>10656</v>
          </cell>
          <cell r="AB333">
            <v>8352</v>
          </cell>
          <cell r="AC333">
            <v>8352</v>
          </cell>
          <cell r="AD333">
            <v>8160</v>
          </cell>
          <cell r="AE333">
            <v>8064</v>
          </cell>
          <cell r="AF333">
            <v>6816</v>
          </cell>
          <cell r="AG333">
            <v>7680</v>
          </cell>
          <cell r="AI333">
            <v>8736</v>
          </cell>
        </row>
        <row r="334">
          <cell r="I334">
            <v>5252060</v>
          </cell>
          <cell r="J334">
            <v>4761873</v>
          </cell>
          <cell r="K334">
            <v>5604078</v>
          </cell>
          <cell r="L334">
            <v>4887753</v>
          </cell>
          <cell r="M334">
            <v>5169812</v>
          </cell>
          <cell r="N334">
            <v>5519434</v>
          </cell>
          <cell r="O334">
            <v>4995355</v>
          </cell>
          <cell r="P334">
            <v>4456520</v>
          </cell>
          <cell r="Q334">
            <v>4202130</v>
          </cell>
          <cell r="R334">
            <v>4631840</v>
          </cell>
          <cell r="S334">
            <v>4641869</v>
          </cell>
          <cell r="T334">
            <v>4572870</v>
          </cell>
          <cell r="U334">
            <v>4563991</v>
          </cell>
          <cell r="V334">
            <v>4667640</v>
          </cell>
          <cell r="W334">
            <v>5721241</v>
          </cell>
          <cell r="X334">
            <v>5450249</v>
          </cell>
          <cell r="Y334">
            <v>5692202</v>
          </cell>
          <cell r="Z334">
            <v>6133907</v>
          </cell>
          <cell r="AA334">
            <v>5134450</v>
          </cell>
          <cell r="AB334">
            <v>4996031</v>
          </cell>
          <cell r="AC334">
            <v>4921785</v>
          </cell>
          <cell r="AD334">
            <v>4361535</v>
          </cell>
          <cell r="AE334">
            <v>5101331</v>
          </cell>
          <cell r="AF334">
            <v>4848860</v>
          </cell>
          <cell r="AG334">
            <v>4792636</v>
          </cell>
          <cell r="AI334">
            <v>4761873</v>
          </cell>
        </row>
        <row r="335">
          <cell r="I335">
            <v>93088</v>
          </cell>
          <cell r="J335">
            <v>112431</v>
          </cell>
          <cell r="K335">
            <v>65613</v>
          </cell>
          <cell r="L335">
            <v>46307</v>
          </cell>
          <cell r="M335">
            <v>99534</v>
          </cell>
          <cell r="N335">
            <v>70992</v>
          </cell>
          <cell r="O335">
            <v>99095</v>
          </cell>
          <cell r="P335">
            <v>92161</v>
          </cell>
          <cell r="Q335">
            <v>92047</v>
          </cell>
          <cell r="R335">
            <v>85602</v>
          </cell>
          <cell r="S335">
            <v>91443</v>
          </cell>
          <cell r="T335">
            <v>70241</v>
          </cell>
          <cell r="U335">
            <v>14611</v>
          </cell>
          <cell r="V335">
            <v>32403</v>
          </cell>
          <cell r="W335">
            <v>88344</v>
          </cell>
          <cell r="X335">
            <v>53076</v>
          </cell>
          <cell r="Y335">
            <v>67776</v>
          </cell>
          <cell r="Z335">
            <v>82230</v>
          </cell>
          <cell r="AA335">
            <v>91696</v>
          </cell>
          <cell r="AB335">
            <v>99639</v>
          </cell>
          <cell r="AC335">
            <v>101734</v>
          </cell>
          <cell r="AD335">
            <v>78014</v>
          </cell>
          <cell r="AE335">
            <v>40528</v>
          </cell>
          <cell r="AF335">
            <v>38855</v>
          </cell>
          <cell r="AG335">
            <v>85539</v>
          </cell>
          <cell r="AI335">
            <v>112431</v>
          </cell>
        </row>
        <row r="336">
          <cell r="I336">
            <v>614400</v>
          </cell>
          <cell r="J336">
            <v>517200</v>
          </cell>
          <cell r="K336">
            <v>515400</v>
          </cell>
          <cell r="L336">
            <v>484200</v>
          </cell>
          <cell r="M336">
            <v>442200</v>
          </cell>
          <cell r="N336">
            <v>554400</v>
          </cell>
          <cell r="O336">
            <v>538800</v>
          </cell>
          <cell r="P336">
            <v>505200</v>
          </cell>
          <cell r="Q336">
            <v>439200</v>
          </cell>
          <cell r="R336">
            <v>473400</v>
          </cell>
          <cell r="S336">
            <v>514800</v>
          </cell>
          <cell r="T336">
            <v>444600</v>
          </cell>
          <cell r="U336">
            <v>512400</v>
          </cell>
          <cell r="V336">
            <v>396600</v>
          </cell>
          <cell r="W336">
            <v>556200</v>
          </cell>
          <cell r="X336">
            <v>539400</v>
          </cell>
          <cell r="Y336">
            <v>466200</v>
          </cell>
          <cell r="Z336">
            <v>573600</v>
          </cell>
          <cell r="AA336">
            <v>442200</v>
          </cell>
          <cell r="AB336">
            <v>472200</v>
          </cell>
          <cell r="AC336">
            <v>466800</v>
          </cell>
          <cell r="AD336">
            <v>455400</v>
          </cell>
          <cell r="AE336">
            <v>406800</v>
          </cell>
          <cell r="AF336">
            <v>383400</v>
          </cell>
          <cell r="AG336">
            <v>438600</v>
          </cell>
          <cell r="AI336">
            <v>517200</v>
          </cell>
        </row>
        <row r="337">
          <cell r="I337">
            <v>129000</v>
          </cell>
          <cell r="J337">
            <v>158640</v>
          </cell>
          <cell r="K337">
            <v>114920</v>
          </cell>
          <cell r="L337">
            <v>114600</v>
          </cell>
          <cell r="M337">
            <v>110240</v>
          </cell>
          <cell r="N337">
            <v>203280</v>
          </cell>
          <cell r="O337">
            <v>0</v>
          </cell>
          <cell r="P337">
            <v>54000</v>
          </cell>
          <cell r="Q337">
            <v>99080</v>
          </cell>
          <cell r="R337">
            <v>52800</v>
          </cell>
          <cell r="S337">
            <v>19800</v>
          </cell>
          <cell r="T337">
            <v>24840</v>
          </cell>
          <cell r="U337">
            <v>22360</v>
          </cell>
          <cell r="V337">
            <v>20720</v>
          </cell>
          <cell r="W337">
            <v>21320</v>
          </cell>
          <cell r="X337">
            <v>20400</v>
          </cell>
          <cell r="Y337">
            <v>21520</v>
          </cell>
          <cell r="Z337">
            <v>29200</v>
          </cell>
          <cell r="AA337">
            <v>26308</v>
          </cell>
          <cell r="AB337">
            <v>21606</v>
          </cell>
          <cell r="AC337">
            <v>13206</v>
          </cell>
          <cell r="AD337">
            <v>15080</v>
          </cell>
          <cell r="AE337">
            <v>13132</v>
          </cell>
          <cell r="AF337">
            <v>18668</v>
          </cell>
          <cell r="AG337">
            <v>69080</v>
          </cell>
          <cell r="AI337">
            <v>158640</v>
          </cell>
        </row>
        <row r="338">
          <cell r="I338">
            <v>1068</v>
          </cell>
          <cell r="J338">
            <v>1210</v>
          </cell>
          <cell r="K338">
            <v>1647</v>
          </cell>
          <cell r="L338">
            <v>2429</v>
          </cell>
          <cell r="M338">
            <v>1960</v>
          </cell>
          <cell r="N338">
            <v>1752</v>
          </cell>
          <cell r="O338">
            <v>1991</v>
          </cell>
          <cell r="P338">
            <v>1233</v>
          </cell>
          <cell r="Q338">
            <v>924</v>
          </cell>
          <cell r="R338">
            <v>1094</v>
          </cell>
          <cell r="S338">
            <v>1416</v>
          </cell>
          <cell r="T338">
            <v>1405</v>
          </cell>
          <cell r="U338">
            <v>1146</v>
          </cell>
          <cell r="V338">
            <v>985</v>
          </cell>
          <cell r="W338">
            <v>1736</v>
          </cell>
          <cell r="X338">
            <v>1883</v>
          </cell>
          <cell r="Y338">
            <v>2239</v>
          </cell>
          <cell r="Z338">
            <v>2613</v>
          </cell>
          <cell r="AA338">
            <v>2041</v>
          </cell>
          <cell r="AB338">
            <v>1191</v>
          </cell>
          <cell r="AC338">
            <v>1153</v>
          </cell>
          <cell r="AD338">
            <v>1432</v>
          </cell>
          <cell r="AE338">
            <v>1471</v>
          </cell>
          <cell r="AF338">
            <v>1224</v>
          </cell>
          <cell r="AG338">
            <v>929</v>
          </cell>
          <cell r="AI338">
            <v>1210</v>
          </cell>
        </row>
        <row r="339">
          <cell r="I339">
            <v>2495808</v>
          </cell>
          <cell r="J339">
            <v>2755788</v>
          </cell>
          <cell r="K339">
            <v>2698296</v>
          </cell>
          <cell r="L339">
            <v>3093396</v>
          </cell>
          <cell r="M339">
            <v>2973948</v>
          </cell>
          <cell r="N339">
            <v>4089912</v>
          </cell>
          <cell r="O339">
            <v>2108736</v>
          </cell>
          <cell r="P339">
            <v>2759976</v>
          </cell>
          <cell r="Q339">
            <v>2602980</v>
          </cell>
          <cell r="R339">
            <v>2458716</v>
          </cell>
          <cell r="S339">
            <v>2886432</v>
          </cell>
          <cell r="T339">
            <v>2401608</v>
          </cell>
          <cell r="U339">
            <v>2764200</v>
          </cell>
          <cell r="V339">
            <v>2786268</v>
          </cell>
          <cell r="W339">
            <v>3227028</v>
          </cell>
          <cell r="X339">
            <v>3142632</v>
          </cell>
          <cell r="Y339">
            <v>3183384</v>
          </cell>
          <cell r="Z339">
            <v>4504632</v>
          </cell>
          <cell r="AA339">
            <v>2111712</v>
          </cell>
          <cell r="AB339">
            <v>3014208</v>
          </cell>
          <cell r="AC339">
            <v>2863548</v>
          </cell>
          <cell r="AD339">
            <v>2572896</v>
          </cell>
          <cell r="AE339">
            <v>2666256</v>
          </cell>
          <cell r="AF339">
            <v>2698248</v>
          </cell>
          <cell r="AG339">
            <v>2835984</v>
          </cell>
          <cell r="AI339">
            <v>2755788</v>
          </cell>
        </row>
        <row r="340"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I340">
            <v>0</v>
          </cell>
        </row>
        <row r="341">
          <cell r="I341">
            <v>1753200</v>
          </cell>
          <cell r="J341">
            <v>1860600</v>
          </cell>
          <cell r="K341">
            <v>1842600</v>
          </cell>
          <cell r="L341">
            <v>2137800</v>
          </cell>
          <cell r="M341">
            <v>2020200</v>
          </cell>
          <cell r="N341">
            <v>2068800</v>
          </cell>
          <cell r="O341">
            <v>1711200</v>
          </cell>
          <cell r="P341">
            <v>1821600</v>
          </cell>
          <cell r="Q341">
            <v>1698600</v>
          </cell>
          <cell r="R341">
            <v>1374600</v>
          </cell>
          <cell r="S341">
            <v>1416000</v>
          </cell>
          <cell r="T341">
            <v>1186800</v>
          </cell>
          <cell r="U341">
            <v>1378800</v>
          </cell>
          <cell r="V341">
            <v>1255800</v>
          </cell>
          <cell r="W341">
            <v>1455000</v>
          </cell>
          <cell r="X341">
            <v>1678800</v>
          </cell>
          <cell r="Y341">
            <v>1520400</v>
          </cell>
          <cell r="Z341">
            <v>1680000</v>
          </cell>
          <cell r="AA341">
            <v>1524000</v>
          </cell>
          <cell r="AB341">
            <v>1236600</v>
          </cell>
          <cell r="AC341">
            <v>1570800</v>
          </cell>
          <cell r="AD341">
            <v>1262400</v>
          </cell>
          <cell r="AE341">
            <v>1113000</v>
          </cell>
          <cell r="AF341">
            <v>937800</v>
          </cell>
          <cell r="AG341">
            <v>1143000</v>
          </cell>
          <cell r="AI341">
            <v>1860600</v>
          </cell>
        </row>
        <row r="343">
          <cell r="I343">
            <v>471</v>
          </cell>
          <cell r="J343">
            <v>1171</v>
          </cell>
          <cell r="K343">
            <v>995</v>
          </cell>
          <cell r="L343">
            <v>999</v>
          </cell>
          <cell r="M343">
            <v>1085</v>
          </cell>
          <cell r="N343">
            <v>3978</v>
          </cell>
          <cell r="O343">
            <v>1355</v>
          </cell>
          <cell r="P343">
            <v>1051</v>
          </cell>
          <cell r="Q343">
            <v>1298</v>
          </cell>
          <cell r="R343">
            <v>893</v>
          </cell>
          <cell r="S343">
            <v>864</v>
          </cell>
          <cell r="T343">
            <v>773</v>
          </cell>
          <cell r="U343">
            <v>866</v>
          </cell>
          <cell r="V343">
            <v>987</v>
          </cell>
          <cell r="W343">
            <v>900</v>
          </cell>
          <cell r="X343">
            <v>906</v>
          </cell>
          <cell r="Y343">
            <v>734</v>
          </cell>
          <cell r="Z343">
            <v>2458</v>
          </cell>
          <cell r="AA343">
            <v>1349</v>
          </cell>
          <cell r="AB343">
            <v>901</v>
          </cell>
          <cell r="AC343">
            <v>908</v>
          </cell>
          <cell r="AD343">
            <v>931</v>
          </cell>
          <cell r="AE343">
            <v>931</v>
          </cell>
          <cell r="AF343">
            <v>868</v>
          </cell>
          <cell r="AG343">
            <v>1019</v>
          </cell>
          <cell r="AI343">
            <v>1171</v>
          </cell>
        </row>
        <row r="344">
          <cell r="I344">
            <v>11569</v>
          </cell>
          <cell r="J344">
            <v>12651</v>
          </cell>
          <cell r="K344">
            <v>13550</v>
          </cell>
          <cell r="L344">
            <v>15622</v>
          </cell>
          <cell r="M344">
            <v>15485</v>
          </cell>
          <cell r="N344">
            <v>18322</v>
          </cell>
          <cell r="O344">
            <v>18684</v>
          </cell>
          <cell r="P344">
            <v>17377</v>
          </cell>
          <cell r="Q344">
            <v>16529</v>
          </cell>
          <cell r="R344">
            <v>14459</v>
          </cell>
          <cell r="S344">
            <v>13426</v>
          </cell>
          <cell r="T344">
            <v>12259</v>
          </cell>
          <cell r="U344">
            <v>11539</v>
          </cell>
          <cell r="V344">
            <v>12618</v>
          </cell>
          <cell r="W344">
            <v>13515</v>
          </cell>
          <cell r="X344">
            <v>15581</v>
          </cell>
          <cell r="Y344">
            <v>15445</v>
          </cell>
          <cell r="Z344">
            <v>18274</v>
          </cell>
          <cell r="AA344">
            <v>18635</v>
          </cell>
          <cell r="AB344">
            <v>17332</v>
          </cell>
          <cell r="AC344">
            <v>16523</v>
          </cell>
          <cell r="AD344">
            <v>14459</v>
          </cell>
          <cell r="AE344">
            <v>13426</v>
          </cell>
          <cell r="AF344">
            <v>12259</v>
          </cell>
          <cell r="AG344">
            <v>11539</v>
          </cell>
          <cell r="AI344">
            <v>12651</v>
          </cell>
        </row>
        <row r="345">
          <cell r="I345">
            <v>1290</v>
          </cell>
          <cell r="J345">
            <v>1371</v>
          </cell>
          <cell r="K345">
            <v>1423</v>
          </cell>
          <cell r="L345">
            <v>1667</v>
          </cell>
          <cell r="M345">
            <v>1645</v>
          </cell>
          <cell r="N345">
            <v>1961</v>
          </cell>
          <cell r="O345">
            <v>1871</v>
          </cell>
          <cell r="P345">
            <v>1788</v>
          </cell>
          <cell r="Q345">
            <v>1681</v>
          </cell>
          <cell r="R345">
            <v>1457</v>
          </cell>
          <cell r="S345">
            <v>1364</v>
          </cell>
          <cell r="T345">
            <v>1256</v>
          </cell>
          <cell r="U345">
            <v>1219</v>
          </cell>
          <cell r="V345">
            <v>16949</v>
          </cell>
          <cell r="W345">
            <v>608</v>
          </cell>
          <cell r="X345">
            <v>594</v>
          </cell>
          <cell r="Y345">
            <v>660</v>
          </cell>
          <cell r="Z345">
            <v>756</v>
          </cell>
          <cell r="AA345">
            <v>710</v>
          </cell>
          <cell r="AB345">
            <v>625</v>
          </cell>
          <cell r="AC345">
            <v>613</v>
          </cell>
          <cell r="AD345">
            <v>536</v>
          </cell>
          <cell r="AE345">
            <v>497</v>
          </cell>
          <cell r="AF345">
            <v>517</v>
          </cell>
          <cell r="AG345">
            <v>504</v>
          </cell>
          <cell r="AI345">
            <v>1371</v>
          </cell>
        </row>
        <row r="346">
          <cell r="I346">
            <v>296</v>
          </cell>
          <cell r="J346">
            <v>325</v>
          </cell>
          <cell r="K346">
            <v>347</v>
          </cell>
          <cell r="L346">
            <v>400</v>
          </cell>
          <cell r="M346">
            <v>397</v>
          </cell>
          <cell r="N346">
            <v>469</v>
          </cell>
          <cell r="O346">
            <v>479</v>
          </cell>
          <cell r="P346">
            <v>446</v>
          </cell>
          <cell r="Q346">
            <v>425</v>
          </cell>
          <cell r="R346">
            <v>372</v>
          </cell>
          <cell r="S346">
            <v>345</v>
          </cell>
          <cell r="T346">
            <v>316</v>
          </cell>
          <cell r="U346">
            <v>296</v>
          </cell>
          <cell r="V346">
            <v>325</v>
          </cell>
          <cell r="W346">
            <v>347</v>
          </cell>
          <cell r="X346">
            <v>400</v>
          </cell>
          <cell r="Y346">
            <v>397</v>
          </cell>
          <cell r="Z346">
            <v>469</v>
          </cell>
          <cell r="AA346">
            <v>479</v>
          </cell>
          <cell r="AB346">
            <v>621</v>
          </cell>
          <cell r="AC346">
            <v>258</v>
          </cell>
          <cell r="AD346">
            <v>226</v>
          </cell>
          <cell r="AE346">
            <v>210</v>
          </cell>
          <cell r="AF346">
            <v>192</v>
          </cell>
          <cell r="AG346">
            <v>180</v>
          </cell>
          <cell r="AI346">
            <v>325</v>
          </cell>
        </row>
        <row r="347"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I347">
            <v>0</v>
          </cell>
        </row>
        <row r="348"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I348">
            <v>0</v>
          </cell>
        </row>
        <row r="349"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I349">
            <v>0</v>
          </cell>
        </row>
        <row r="350">
          <cell r="I350">
            <v>30</v>
          </cell>
          <cell r="J350">
            <v>33</v>
          </cell>
          <cell r="K350">
            <v>35</v>
          </cell>
          <cell r="L350">
            <v>41</v>
          </cell>
          <cell r="M350">
            <v>40</v>
          </cell>
          <cell r="N350">
            <v>48</v>
          </cell>
          <cell r="O350">
            <v>49</v>
          </cell>
          <cell r="P350">
            <v>45</v>
          </cell>
          <cell r="Q350">
            <v>43</v>
          </cell>
          <cell r="R350">
            <v>38</v>
          </cell>
          <cell r="S350">
            <v>35</v>
          </cell>
          <cell r="T350">
            <v>32</v>
          </cell>
          <cell r="U350">
            <v>30</v>
          </cell>
          <cell r="V350">
            <v>33</v>
          </cell>
          <cell r="W350">
            <v>35</v>
          </cell>
          <cell r="X350">
            <v>41</v>
          </cell>
          <cell r="Y350">
            <v>40</v>
          </cell>
          <cell r="Z350">
            <v>48</v>
          </cell>
          <cell r="AA350">
            <v>49</v>
          </cell>
          <cell r="AB350">
            <v>45</v>
          </cell>
          <cell r="AC350">
            <v>43</v>
          </cell>
          <cell r="AD350">
            <v>38</v>
          </cell>
          <cell r="AE350">
            <v>35</v>
          </cell>
          <cell r="AF350">
            <v>32</v>
          </cell>
          <cell r="AG350">
            <v>30</v>
          </cell>
          <cell r="AI350">
            <v>33</v>
          </cell>
        </row>
        <row r="351"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I351">
            <v>0</v>
          </cell>
        </row>
        <row r="352"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I352">
            <v>0</v>
          </cell>
        </row>
        <row r="353">
          <cell r="I353">
            <v>10426</v>
          </cell>
          <cell r="J353">
            <v>11402</v>
          </cell>
          <cell r="K353">
            <v>12210</v>
          </cell>
          <cell r="L353">
            <v>14081</v>
          </cell>
          <cell r="M353">
            <v>13955</v>
          </cell>
          <cell r="N353">
            <v>16514</v>
          </cell>
          <cell r="O353">
            <v>16839</v>
          </cell>
          <cell r="P353">
            <v>15661</v>
          </cell>
          <cell r="Q353">
            <v>14930</v>
          </cell>
          <cell r="R353">
            <v>13065</v>
          </cell>
          <cell r="S353">
            <v>12132</v>
          </cell>
          <cell r="T353">
            <v>11078</v>
          </cell>
          <cell r="U353">
            <v>10426</v>
          </cell>
          <cell r="V353">
            <v>11402</v>
          </cell>
          <cell r="W353">
            <v>12210</v>
          </cell>
          <cell r="X353">
            <v>13997</v>
          </cell>
          <cell r="Y353">
            <v>13871</v>
          </cell>
          <cell r="Z353">
            <v>16330</v>
          </cell>
          <cell r="AA353">
            <v>16638</v>
          </cell>
          <cell r="AB353">
            <v>15474</v>
          </cell>
          <cell r="AC353">
            <v>14752</v>
          </cell>
          <cell r="AD353">
            <v>12909</v>
          </cell>
          <cell r="AE353">
            <v>11987</v>
          </cell>
          <cell r="AF353">
            <v>10946</v>
          </cell>
          <cell r="AG353">
            <v>10301</v>
          </cell>
          <cell r="AI353">
            <v>11402</v>
          </cell>
        </row>
        <row r="354"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I354">
            <v>0</v>
          </cell>
        </row>
        <row r="355">
          <cell r="I355">
            <v>329</v>
          </cell>
          <cell r="J355">
            <v>310</v>
          </cell>
          <cell r="K355">
            <v>331</v>
          </cell>
          <cell r="L355">
            <v>371</v>
          </cell>
          <cell r="M355">
            <v>368</v>
          </cell>
          <cell r="N355">
            <v>439</v>
          </cell>
          <cell r="O355">
            <v>444</v>
          </cell>
          <cell r="P355">
            <v>428</v>
          </cell>
          <cell r="Q355">
            <v>402</v>
          </cell>
          <cell r="R355">
            <v>371</v>
          </cell>
          <cell r="S355">
            <v>343</v>
          </cell>
          <cell r="T355">
            <v>329</v>
          </cell>
          <cell r="U355">
            <v>302</v>
          </cell>
          <cell r="V355">
            <v>300</v>
          </cell>
          <cell r="W355">
            <v>322</v>
          </cell>
          <cell r="X355">
            <v>371</v>
          </cell>
          <cell r="Y355">
            <v>368</v>
          </cell>
          <cell r="Z355">
            <v>435</v>
          </cell>
          <cell r="AA355">
            <v>444</v>
          </cell>
          <cell r="AB355">
            <v>413</v>
          </cell>
          <cell r="AC355">
            <v>393</v>
          </cell>
          <cell r="AD355">
            <v>344</v>
          </cell>
          <cell r="AE355">
            <v>320</v>
          </cell>
          <cell r="AF355">
            <v>292</v>
          </cell>
          <cell r="AG355">
            <v>275</v>
          </cell>
          <cell r="AI355">
            <v>310</v>
          </cell>
        </row>
        <row r="356">
          <cell r="I356">
            <v>23081</v>
          </cell>
          <cell r="J356">
            <v>25239</v>
          </cell>
          <cell r="K356">
            <v>27036</v>
          </cell>
          <cell r="L356">
            <v>31168</v>
          </cell>
          <cell r="M356">
            <v>30899</v>
          </cell>
          <cell r="N356">
            <v>36556</v>
          </cell>
          <cell r="O356">
            <v>37274</v>
          </cell>
          <cell r="P356">
            <v>34667</v>
          </cell>
          <cell r="Q356">
            <v>33054</v>
          </cell>
          <cell r="R356">
            <v>28922</v>
          </cell>
          <cell r="S356">
            <v>26855</v>
          </cell>
          <cell r="T356">
            <v>24521</v>
          </cell>
          <cell r="U356">
            <v>23081</v>
          </cell>
          <cell r="V356">
            <v>25222</v>
          </cell>
          <cell r="W356">
            <v>27011</v>
          </cell>
          <cell r="X356">
            <v>31139</v>
          </cell>
          <cell r="Y356">
            <v>30870</v>
          </cell>
          <cell r="Z356">
            <v>36522</v>
          </cell>
          <cell r="AA356">
            <v>37236</v>
          </cell>
          <cell r="AB356">
            <v>34603</v>
          </cell>
          <cell r="AC356">
            <v>32993</v>
          </cell>
          <cell r="AD356">
            <v>28867</v>
          </cell>
          <cell r="AE356">
            <v>26727</v>
          </cell>
          <cell r="AF356">
            <v>24381</v>
          </cell>
          <cell r="AG356">
            <v>22949</v>
          </cell>
          <cell r="AI356">
            <v>25239</v>
          </cell>
        </row>
        <row r="357"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I357">
            <v>0</v>
          </cell>
        </row>
        <row r="358">
          <cell r="I358">
            <v>5704</v>
          </cell>
          <cell r="J358">
            <v>6237</v>
          </cell>
          <cell r="K358">
            <v>6680</v>
          </cell>
          <cell r="L358">
            <v>7701</v>
          </cell>
          <cell r="M358">
            <v>7634</v>
          </cell>
          <cell r="N358">
            <v>9033</v>
          </cell>
          <cell r="O358">
            <v>9210</v>
          </cell>
          <cell r="P358">
            <v>8567</v>
          </cell>
          <cell r="Q358">
            <v>8168</v>
          </cell>
          <cell r="R358">
            <v>7147</v>
          </cell>
          <cell r="S358">
            <v>6636</v>
          </cell>
          <cell r="T358">
            <v>6060</v>
          </cell>
          <cell r="U358">
            <v>5704</v>
          </cell>
          <cell r="V358">
            <v>6237</v>
          </cell>
          <cell r="W358">
            <v>6680</v>
          </cell>
          <cell r="X358">
            <v>7701</v>
          </cell>
          <cell r="Y358">
            <v>7634</v>
          </cell>
          <cell r="Z358">
            <v>9033</v>
          </cell>
          <cell r="AA358">
            <v>9210</v>
          </cell>
          <cell r="AB358">
            <v>8567</v>
          </cell>
          <cell r="AC358">
            <v>8168</v>
          </cell>
          <cell r="AD358">
            <v>7147</v>
          </cell>
          <cell r="AE358">
            <v>6636</v>
          </cell>
          <cell r="AF358">
            <v>6060</v>
          </cell>
          <cell r="AG358">
            <v>5704</v>
          </cell>
          <cell r="AI358">
            <v>6237</v>
          </cell>
        </row>
        <row r="359">
          <cell r="I359">
            <v>20456</v>
          </cell>
          <cell r="J359">
            <v>22365</v>
          </cell>
          <cell r="K359">
            <v>23957</v>
          </cell>
          <cell r="L359">
            <v>27619</v>
          </cell>
          <cell r="M359">
            <v>27380</v>
          </cell>
          <cell r="N359">
            <v>32395</v>
          </cell>
          <cell r="O359">
            <v>33031</v>
          </cell>
          <cell r="P359">
            <v>30722</v>
          </cell>
          <cell r="Q359">
            <v>29289</v>
          </cell>
          <cell r="R359">
            <v>25630</v>
          </cell>
          <cell r="S359">
            <v>23798</v>
          </cell>
          <cell r="T359">
            <v>21728</v>
          </cell>
          <cell r="U359">
            <v>20456</v>
          </cell>
          <cell r="V359">
            <v>22365</v>
          </cell>
          <cell r="W359">
            <v>23957</v>
          </cell>
          <cell r="X359">
            <v>27619</v>
          </cell>
          <cell r="Y359">
            <v>27380</v>
          </cell>
          <cell r="Z359">
            <v>32395</v>
          </cell>
          <cell r="AA359">
            <v>33031</v>
          </cell>
          <cell r="AB359">
            <v>30722</v>
          </cell>
          <cell r="AC359">
            <v>29289</v>
          </cell>
          <cell r="AD359">
            <v>25630</v>
          </cell>
          <cell r="AE359">
            <v>23798</v>
          </cell>
          <cell r="AF359">
            <v>21802</v>
          </cell>
          <cell r="AG359">
            <v>20347</v>
          </cell>
          <cell r="AI359">
            <v>22365</v>
          </cell>
        </row>
        <row r="360">
          <cell r="I360">
            <v>226</v>
          </cell>
          <cell r="J360">
            <v>287</v>
          </cell>
          <cell r="K360">
            <v>189</v>
          </cell>
          <cell r="L360">
            <v>14</v>
          </cell>
          <cell r="M360">
            <v>2</v>
          </cell>
          <cell r="N360">
            <v>0</v>
          </cell>
          <cell r="O360">
            <v>-15</v>
          </cell>
          <cell r="P360">
            <v>15</v>
          </cell>
          <cell r="Q360">
            <v>0</v>
          </cell>
          <cell r="R360">
            <v>1</v>
          </cell>
          <cell r="S360">
            <v>0</v>
          </cell>
          <cell r="T360">
            <v>3</v>
          </cell>
          <cell r="U360">
            <v>5</v>
          </cell>
          <cell r="V360">
            <v>15</v>
          </cell>
          <cell r="W360">
            <v>40</v>
          </cell>
          <cell r="X360">
            <v>10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1</v>
          </cell>
          <cell r="AG360">
            <v>0</v>
          </cell>
          <cell r="AI360">
            <v>287</v>
          </cell>
        </row>
        <row r="361">
          <cell r="I361">
            <v>19572</v>
          </cell>
          <cell r="J361">
            <v>21294</v>
          </cell>
          <cell r="K361">
            <v>22651</v>
          </cell>
          <cell r="L361">
            <v>26085</v>
          </cell>
          <cell r="M361">
            <v>25862</v>
          </cell>
          <cell r="N361">
            <v>30339</v>
          </cell>
          <cell r="O361">
            <v>30946</v>
          </cell>
          <cell r="P361">
            <v>28954</v>
          </cell>
          <cell r="Q361">
            <v>27529</v>
          </cell>
          <cell r="R361">
            <v>24213</v>
          </cell>
          <cell r="S361">
            <v>22541</v>
          </cell>
          <cell r="T361">
            <v>20615</v>
          </cell>
          <cell r="U361">
            <v>19491</v>
          </cell>
          <cell r="V361">
            <v>21061</v>
          </cell>
          <cell r="W361">
            <v>22614</v>
          </cell>
          <cell r="X361">
            <v>25844</v>
          </cell>
          <cell r="Y361">
            <v>25680</v>
          </cell>
          <cell r="Z361">
            <v>30142</v>
          </cell>
          <cell r="AA361">
            <v>30842</v>
          </cell>
          <cell r="AB361">
            <v>28646</v>
          </cell>
          <cell r="AC361">
            <v>27338</v>
          </cell>
          <cell r="AD361">
            <v>24109</v>
          </cell>
          <cell r="AE361">
            <v>22391</v>
          </cell>
          <cell r="AF361">
            <v>20493</v>
          </cell>
          <cell r="AG361">
            <v>19344</v>
          </cell>
          <cell r="AI361">
            <v>21294</v>
          </cell>
        </row>
        <row r="362">
          <cell r="I362">
            <v>13405</v>
          </cell>
          <cell r="J362">
            <v>14508</v>
          </cell>
          <cell r="K362">
            <v>15427</v>
          </cell>
          <cell r="L362">
            <v>17544</v>
          </cell>
          <cell r="M362">
            <v>17405</v>
          </cell>
          <cell r="N362">
            <v>20303</v>
          </cell>
          <cell r="O362">
            <v>20673</v>
          </cell>
          <cell r="P362">
            <v>19337</v>
          </cell>
          <cell r="Q362">
            <v>18384</v>
          </cell>
          <cell r="R362">
            <v>16243</v>
          </cell>
          <cell r="S362">
            <v>15197</v>
          </cell>
          <cell r="T362">
            <v>14012</v>
          </cell>
          <cell r="U362">
            <v>13285</v>
          </cell>
          <cell r="V362">
            <v>14377</v>
          </cell>
          <cell r="W362">
            <v>15287</v>
          </cell>
          <cell r="X362">
            <v>17381</v>
          </cell>
          <cell r="Y362">
            <v>17244</v>
          </cell>
          <cell r="Z362">
            <v>20112</v>
          </cell>
          <cell r="AA362">
            <v>20479</v>
          </cell>
          <cell r="AB362">
            <v>19157</v>
          </cell>
          <cell r="AC362">
            <v>18337</v>
          </cell>
          <cell r="AD362">
            <v>16243</v>
          </cell>
          <cell r="AE362">
            <v>15197</v>
          </cell>
          <cell r="AF362">
            <v>14012</v>
          </cell>
          <cell r="AG362">
            <v>13285</v>
          </cell>
          <cell r="AI362">
            <v>14508</v>
          </cell>
        </row>
        <row r="364">
          <cell r="I364">
            <v>487357</v>
          </cell>
          <cell r="J364">
            <v>526900</v>
          </cell>
          <cell r="K364">
            <v>562820</v>
          </cell>
          <cell r="L364">
            <v>587479</v>
          </cell>
          <cell r="M364">
            <v>634679</v>
          </cell>
          <cell r="N364">
            <v>601462</v>
          </cell>
          <cell r="O364">
            <v>470357</v>
          </cell>
          <cell r="P364">
            <v>455834</v>
          </cell>
          <cell r="Q364">
            <v>482966</v>
          </cell>
          <cell r="R364">
            <v>458172</v>
          </cell>
          <cell r="S364">
            <v>389632</v>
          </cell>
          <cell r="T364">
            <v>381443</v>
          </cell>
          <cell r="U364">
            <v>472420</v>
          </cell>
          <cell r="V364">
            <v>531614</v>
          </cell>
          <cell r="W364">
            <v>495417</v>
          </cell>
          <cell r="X364">
            <v>532651</v>
          </cell>
          <cell r="Y364">
            <v>629860</v>
          </cell>
          <cell r="Z364">
            <v>563403</v>
          </cell>
          <cell r="AA364">
            <v>508118</v>
          </cell>
          <cell r="AB364">
            <v>441619</v>
          </cell>
          <cell r="AC364">
            <v>476972</v>
          </cell>
          <cell r="AD364">
            <v>498577</v>
          </cell>
          <cell r="AE364">
            <v>344905</v>
          </cell>
          <cell r="AF364">
            <v>342103</v>
          </cell>
          <cell r="AG364">
            <v>476843</v>
          </cell>
          <cell r="AI364">
            <v>526900</v>
          </cell>
        </row>
        <row r="365">
          <cell r="I365">
            <v>3825</v>
          </cell>
          <cell r="J365">
            <v>12231</v>
          </cell>
          <cell r="K365">
            <v>20606</v>
          </cell>
          <cell r="L365">
            <v>23071</v>
          </cell>
          <cell r="M365">
            <v>24327</v>
          </cell>
          <cell r="N365">
            <v>30957</v>
          </cell>
          <cell r="O365">
            <v>4991</v>
          </cell>
          <cell r="P365">
            <v>3405</v>
          </cell>
          <cell r="Q365">
            <v>4069</v>
          </cell>
          <cell r="R365">
            <v>3375</v>
          </cell>
          <cell r="S365">
            <v>3716</v>
          </cell>
          <cell r="T365">
            <v>4353</v>
          </cell>
          <cell r="U365">
            <v>4215</v>
          </cell>
          <cell r="V365">
            <v>5000</v>
          </cell>
          <cell r="W365">
            <v>6971</v>
          </cell>
          <cell r="X365">
            <v>8836</v>
          </cell>
          <cell r="Y365">
            <v>10826</v>
          </cell>
          <cell r="Z365">
            <v>10312</v>
          </cell>
          <cell r="AA365">
            <v>5628</v>
          </cell>
          <cell r="AB365">
            <v>3274</v>
          </cell>
          <cell r="AC365">
            <v>3255</v>
          </cell>
          <cell r="AD365">
            <v>3550</v>
          </cell>
          <cell r="AE365">
            <v>3495</v>
          </cell>
          <cell r="AF365">
            <v>3485</v>
          </cell>
          <cell r="AG365">
            <v>3161</v>
          </cell>
          <cell r="AI365">
            <v>12231</v>
          </cell>
        </row>
        <row r="366">
          <cell r="I366">
            <v>270655</v>
          </cell>
          <cell r="J366">
            <v>267237</v>
          </cell>
          <cell r="K366">
            <v>286795</v>
          </cell>
          <cell r="L366">
            <v>264622</v>
          </cell>
          <cell r="M366">
            <v>263775</v>
          </cell>
          <cell r="N366">
            <v>317874</v>
          </cell>
          <cell r="O366">
            <v>51786</v>
          </cell>
          <cell r="P366">
            <v>49035</v>
          </cell>
          <cell r="Q366">
            <v>56762</v>
          </cell>
          <cell r="R366">
            <v>61348</v>
          </cell>
          <cell r="S366">
            <v>53079</v>
          </cell>
          <cell r="T366">
            <v>59486</v>
          </cell>
          <cell r="U366">
            <v>66577</v>
          </cell>
          <cell r="V366">
            <v>64319</v>
          </cell>
          <cell r="W366">
            <v>69610</v>
          </cell>
          <cell r="X366">
            <v>72663</v>
          </cell>
          <cell r="Y366">
            <v>90472</v>
          </cell>
          <cell r="Z366">
            <v>95318</v>
          </cell>
          <cell r="AA366">
            <v>78305</v>
          </cell>
          <cell r="AB366">
            <v>63183</v>
          </cell>
          <cell r="AC366">
            <v>67324</v>
          </cell>
          <cell r="AD366">
            <v>71069</v>
          </cell>
          <cell r="AE366">
            <v>55656</v>
          </cell>
          <cell r="AF366">
            <v>49532</v>
          </cell>
          <cell r="AG366">
            <v>48027</v>
          </cell>
          <cell r="AI366">
            <v>267237</v>
          </cell>
        </row>
        <row r="367">
          <cell r="I367">
            <v>236915</v>
          </cell>
          <cell r="J367">
            <v>261708</v>
          </cell>
          <cell r="K367">
            <v>300399</v>
          </cell>
          <cell r="L367">
            <v>377055</v>
          </cell>
          <cell r="M367">
            <v>416843</v>
          </cell>
          <cell r="N367">
            <v>407752</v>
          </cell>
          <cell r="O367">
            <v>313270</v>
          </cell>
          <cell r="P367">
            <v>205139</v>
          </cell>
          <cell r="Q367">
            <v>188726</v>
          </cell>
          <cell r="R367">
            <v>215077</v>
          </cell>
          <cell r="S367">
            <v>195697</v>
          </cell>
          <cell r="T367">
            <v>199207</v>
          </cell>
          <cell r="U367">
            <v>214864</v>
          </cell>
          <cell r="V367">
            <v>223586</v>
          </cell>
          <cell r="W367">
            <v>328521</v>
          </cell>
          <cell r="X367">
            <v>361943</v>
          </cell>
          <cell r="Y367">
            <v>485913</v>
          </cell>
          <cell r="Z367">
            <v>402352</v>
          </cell>
          <cell r="AA367">
            <v>338344</v>
          </cell>
          <cell r="AB367">
            <v>215918</v>
          </cell>
          <cell r="AC367">
            <v>202296</v>
          </cell>
          <cell r="AD367">
            <v>231361</v>
          </cell>
          <cell r="AE367">
            <v>191773</v>
          </cell>
          <cell r="AF367">
            <v>182550</v>
          </cell>
          <cell r="AG367">
            <v>202344</v>
          </cell>
          <cell r="AI367">
            <v>261708</v>
          </cell>
        </row>
        <row r="368">
          <cell r="I368">
            <v>378026</v>
          </cell>
          <cell r="J368">
            <v>413424</v>
          </cell>
          <cell r="K368">
            <v>486771</v>
          </cell>
          <cell r="L368">
            <v>567869</v>
          </cell>
          <cell r="M368">
            <v>601123</v>
          </cell>
          <cell r="N368">
            <v>598494</v>
          </cell>
          <cell r="O368">
            <v>507503</v>
          </cell>
          <cell r="P368">
            <v>356994</v>
          </cell>
          <cell r="Q368">
            <v>347030</v>
          </cell>
          <cell r="R368">
            <v>402189</v>
          </cell>
          <cell r="S368">
            <v>352363</v>
          </cell>
          <cell r="T368">
            <v>373416</v>
          </cell>
          <cell r="U368">
            <v>379926</v>
          </cell>
          <cell r="V368">
            <v>180531</v>
          </cell>
          <cell r="W368">
            <v>295741</v>
          </cell>
          <cell r="X368">
            <v>330235</v>
          </cell>
          <cell r="Y368">
            <v>436558</v>
          </cell>
          <cell r="Z368">
            <v>391395</v>
          </cell>
          <cell r="AA368">
            <v>288368</v>
          </cell>
          <cell r="AB368">
            <v>192297</v>
          </cell>
          <cell r="AC368">
            <v>162692</v>
          </cell>
          <cell r="AD368">
            <v>167379</v>
          </cell>
          <cell r="AE368">
            <v>146158</v>
          </cell>
          <cell r="AF368">
            <v>142013</v>
          </cell>
          <cell r="AG368">
            <v>155541</v>
          </cell>
          <cell r="AI368">
            <v>413424</v>
          </cell>
        </row>
        <row r="369">
          <cell r="I369">
            <v>56210</v>
          </cell>
          <cell r="J369">
            <v>66863</v>
          </cell>
          <cell r="K369">
            <v>76404</v>
          </cell>
          <cell r="L369">
            <v>83114</v>
          </cell>
          <cell r="M369">
            <v>86245</v>
          </cell>
          <cell r="N369">
            <v>96820</v>
          </cell>
          <cell r="O369">
            <v>69775</v>
          </cell>
          <cell r="P369">
            <v>54415</v>
          </cell>
          <cell r="Q369">
            <v>69916</v>
          </cell>
          <cell r="R369">
            <v>54598</v>
          </cell>
          <cell r="S369">
            <v>51534</v>
          </cell>
          <cell r="T369">
            <v>54308</v>
          </cell>
          <cell r="U369">
            <v>56615</v>
          </cell>
          <cell r="V369">
            <v>61693</v>
          </cell>
          <cell r="W369">
            <v>71921</v>
          </cell>
          <cell r="X369">
            <v>82504</v>
          </cell>
          <cell r="Y369">
            <v>88447</v>
          </cell>
          <cell r="Z369">
            <v>89066</v>
          </cell>
          <cell r="AA369">
            <v>72303</v>
          </cell>
          <cell r="AB369">
            <v>56029</v>
          </cell>
          <cell r="AC369">
            <v>54363</v>
          </cell>
          <cell r="AD369">
            <v>77971</v>
          </cell>
          <cell r="AE369">
            <v>48815</v>
          </cell>
          <cell r="AF369">
            <v>49625</v>
          </cell>
          <cell r="AG369">
            <v>51741</v>
          </cell>
          <cell r="AI369">
            <v>66863</v>
          </cell>
        </row>
        <row r="370">
          <cell r="I370">
            <v>195693</v>
          </cell>
          <cell r="J370">
            <v>203855</v>
          </cell>
          <cell r="K370">
            <v>203986</v>
          </cell>
          <cell r="L370">
            <v>205431</v>
          </cell>
          <cell r="M370">
            <v>225736</v>
          </cell>
          <cell r="N370">
            <v>250068</v>
          </cell>
          <cell r="O370">
            <v>229767</v>
          </cell>
          <cell r="P370">
            <v>179781</v>
          </cell>
          <cell r="Q370">
            <v>217326</v>
          </cell>
          <cell r="R370">
            <v>192073</v>
          </cell>
          <cell r="S370">
            <v>150775</v>
          </cell>
          <cell r="T370">
            <v>154912</v>
          </cell>
          <cell r="U370">
            <v>206046</v>
          </cell>
          <cell r="V370">
            <v>176422</v>
          </cell>
          <cell r="W370">
            <v>201447</v>
          </cell>
          <cell r="X370">
            <v>197834</v>
          </cell>
          <cell r="Y370">
            <v>212879</v>
          </cell>
          <cell r="Z370">
            <v>239529</v>
          </cell>
          <cell r="AA370">
            <v>205019</v>
          </cell>
          <cell r="AB370">
            <v>191527</v>
          </cell>
          <cell r="AC370">
            <v>199964</v>
          </cell>
          <cell r="AD370">
            <v>210725</v>
          </cell>
          <cell r="AE370">
            <v>193220</v>
          </cell>
          <cell r="AF370">
            <v>160774</v>
          </cell>
          <cell r="AG370">
            <v>196804</v>
          </cell>
          <cell r="AI370">
            <v>203855</v>
          </cell>
        </row>
        <row r="371">
          <cell r="I371">
            <v>232494</v>
          </cell>
          <cell r="J371">
            <v>316636</v>
          </cell>
          <cell r="K371">
            <v>333000</v>
          </cell>
          <cell r="L371">
            <v>407980</v>
          </cell>
          <cell r="M371">
            <v>435862</v>
          </cell>
          <cell r="N371">
            <v>461167</v>
          </cell>
          <cell r="O371">
            <v>419274</v>
          </cell>
          <cell r="P371">
            <v>315223</v>
          </cell>
          <cell r="Q371">
            <v>254144</v>
          </cell>
          <cell r="R371">
            <v>343600</v>
          </cell>
          <cell r="S371">
            <v>227655</v>
          </cell>
          <cell r="T371">
            <v>219464</v>
          </cell>
          <cell r="U371">
            <v>271414</v>
          </cell>
          <cell r="V371">
            <v>316084</v>
          </cell>
          <cell r="W371">
            <v>384227</v>
          </cell>
          <cell r="X371">
            <v>385545</v>
          </cell>
          <cell r="Y371">
            <v>484722</v>
          </cell>
          <cell r="Z371">
            <v>480558</v>
          </cell>
          <cell r="AA371">
            <v>472902</v>
          </cell>
          <cell r="AB371">
            <v>245388</v>
          </cell>
          <cell r="AC371">
            <v>283075</v>
          </cell>
          <cell r="AD371">
            <v>368707</v>
          </cell>
          <cell r="AE371">
            <v>245529</v>
          </cell>
          <cell r="AF371">
            <v>234670</v>
          </cell>
          <cell r="AG371">
            <v>268434</v>
          </cell>
          <cell r="AI371">
            <v>316636</v>
          </cell>
        </row>
        <row r="372">
          <cell r="I372">
            <v>228272</v>
          </cell>
          <cell r="J372">
            <v>233034</v>
          </cell>
          <cell r="K372">
            <v>252020</v>
          </cell>
          <cell r="L372">
            <v>260052</v>
          </cell>
          <cell r="M372">
            <v>274301</v>
          </cell>
          <cell r="N372">
            <v>309258</v>
          </cell>
          <cell r="O372">
            <v>279163</v>
          </cell>
          <cell r="P372">
            <v>220434</v>
          </cell>
          <cell r="Q372">
            <v>222957</v>
          </cell>
          <cell r="R372">
            <v>244250</v>
          </cell>
          <cell r="S372">
            <v>216179</v>
          </cell>
          <cell r="T372">
            <v>224136</v>
          </cell>
          <cell r="U372">
            <v>255498</v>
          </cell>
          <cell r="V372">
            <v>196704</v>
          </cell>
          <cell r="W372">
            <v>252802</v>
          </cell>
          <cell r="X372">
            <v>244539</v>
          </cell>
          <cell r="Y372">
            <v>312216</v>
          </cell>
          <cell r="Z372">
            <v>307604</v>
          </cell>
          <cell r="AA372">
            <v>259407</v>
          </cell>
          <cell r="AB372">
            <v>201390</v>
          </cell>
          <cell r="AC372">
            <v>193906</v>
          </cell>
          <cell r="AD372">
            <v>247285</v>
          </cell>
          <cell r="AE372">
            <v>233811</v>
          </cell>
          <cell r="AF372">
            <v>237816</v>
          </cell>
          <cell r="AG372">
            <v>212593</v>
          </cell>
          <cell r="AI372">
            <v>233034</v>
          </cell>
        </row>
        <row r="373">
          <cell r="I373">
            <v>88902</v>
          </cell>
          <cell r="J373">
            <v>94581</v>
          </cell>
          <cell r="K373">
            <v>96964</v>
          </cell>
          <cell r="L373">
            <v>113176</v>
          </cell>
          <cell r="M373">
            <v>129091</v>
          </cell>
          <cell r="N373">
            <v>120898</v>
          </cell>
          <cell r="O373">
            <v>99395</v>
          </cell>
          <cell r="P373">
            <v>94269</v>
          </cell>
          <cell r="Q373">
            <v>95972</v>
          </cell>
          <cell r="R373">
            <v>103380</v>
          </cell>
          <cell r="S373">
            <v>67176</v>
          </cell>
          <cell r="T373">
            <v>57709</v>
          </cell>
          <cell r="U373">
            <v>90494</v>
          </cell>
          <cell r="V373">
            <v>88598</v>
          </cell>
          <cell r="W373">
            <v>92148</v>
          </cell>
          <cell r="X373">
            <v>99252</v>
          </cell>
          <cell r="Y373">
            <v>112840</v>
          </cell>
          <cell r="Z373">
            <v>103846</v>
          </cell>
          <cell r="AA373">
            <v>95899</v>
          </cell>
          <cell r="AB373">
            <v>74974</v>
          </cell>
          <cell r="AC373">
            <v>94780</v>
          </cell>
          <cell r="AD373">
            <v>95957</v>
          </cell>
          <cell r="AE373">
            <v>52305</v>
          </cell>
          <cell r="AF373">
            <v>49037</v>
          </cell>
          <cell r="AG373">
            <v>74493</v>
          </cell>
          <cell r="AI373">
            <v>94581</v>
          </cell>
        </row>
        <row r="374">
          <cell r="I374">
            <v>131275</v>
          </cell>
          <cell r="J374">
            <v>170014</v>
          </cell>
          <cell r="K374">
            <v>176926</v>
          </cell>
          <cell r="L374">
            <v>230766</v>
          </cell>
          <cell r="M374">
            <v>268714</v>
          </cell>
          <cell r="N374">
            <v>262719</v>
          </cell>
          <cell r="O374">
            <v>215014</v>
          </cell>
          <cell r="P374">
            <v>202395</v>
          </cell>
          <cell r="Q374">
            <v>125372</v>
          </cell>
          <cell r="R374">
            <v>128019</v>
          </cell>
          <cell r="S374">
            <v>102771</v>
          </cell>
          <cell r="T374">
            <v>102409</v>
          </cell>
          <cell r="U374">
            <v>116614</v>
          </cell>
          <cell r="V374">
            <v>161770</v>
          </cell>
          <cell r="W374">
            <v>203948</v>
          </cell>
          <cell r="X374">
            <v>214187</v>
          </cell>
          <cell r="Y374">
            <v>274904</v>
          </cell>
          <cell r="Z374">
            <v>302725</v>
          </cell>
          <cell r="AA374">
            <v>297493</v>
          </cell>
          <cell r="AB374">
            <v>255912</v>
          </cell>
          <cell r="AC374">
            <v>173158</v>
          </cell>
          <cell r="AD374">
            <v>123558</v>
          </cell>
          <cell r="AE374">
            <v>121878</v>
          </cell>
          <cell r="AF374">
            <v>127558</v>
          </cell>
          <cell r="AG374">
            <v>173337</v>
          </cell>
          <cell r="AI374">
            <v>170014</v>
          </cell>
        </row>
        <row r="375">
          <cell r="I375">
            <v>181901</v>
          </cell>
          <cell r="J375">
            <v>187087</v>
          </cell>
          <cell r="K375">
            <v>212228</v>
          </cell>
          <cell r="L375">
            <v>260393</v>
          </cell>
          <cell r="M375">
            <v>267823</v>
          </cell>
          <cell r="N375">
            <v>261707</v>
          </cell>
          <cell r="O375">
            <v>252170</v>
          </cell>
          <cell r="P375">
            <v>193705</v>
          </cell>
          <cell r="Q375">
            <v>172894</v>
          </cell>
          <cell r="R375">
            <v>207269</v>
          </cell>
          <cell r="S375">
            <v>161809</v>
          </cell>
          <cell r="T375">
            <v>180725</v>
          </cell>
          <cell r="U375">
            <v>178575</v>
          </cell>
          <cell r="V375">
            <v>165180</v>
          </cell>
          <cell r="W375">
            <v>218873</v>
          </cell>
          <cell r="X375">
            <v>218178</v>
          </cell>
          <cell r="Y375">
            <v>254305</v>
          </cell>
          <cell r="Z375">
            <v>270101</v>
          </cell>
          <cell r="AA375">
            <v>220210</v>
          </cell>
          <cell r="AB375">
            <v>182022</v>
          </cell>
          <cell r="AC375">
            <v>162668</v>
          </cell>
          <cell r="AD375">
            <v>178308</v>
          </cell>
          <cell r="AE375">
            <v>153642</v>
          </cell>
          <cell r="AF375">
            <v>156896</v>
          </cell>
          <cell r="AG375">
            <v>141452</v>
          </cell>
          <cell r="AI375">
            <v>187087</v>
          </cell>
        </row>
        <row r="376">
          <cell r="I376">
            <v>1193001</v>
          </cell>
          <cell r="J376">
            <v>1162696</v>
          </cell>
          <cell r="K376">
            <v>1422482</v>
          </cell>
          <cell r="L376">
            <v>1475655</v>
          </cell>
          <cell r="M376">
            <v>1624925</v>
          </cell>
          <cell r="N376">
            <v>1731419</v>
          </cell>
          <cell r="O376">
            <v>1299136</v>
          </cell>
          <cell r="P376">
            <v>884906</v>
          </cell>
          <cell r="Q376">
            <v>883635</v>
          </cell>
          <cell r="R376">
            <v>920478</v>
          </cell>
          <cell r="S376">
            <v>850493</v>
          </cell>
          <cell r="T376">
            <v>1070580</v>
          </cell>
          <cell r="U376">
            <v>932552</v>
          </cell>
          <cell r="V376">
            <v>881838</v>
          </cell>
          <cell r="W376">
            <v>1110757</v>
          </cell>
          <cell r="X376">
            <v>1239500</v>
          </cell>
          <cell r="Y376">
            <v>1415285</v>
          </cell>
          <cell r="Z376">
            <v>1585267</v>
          </cell>
          <cell r="AA376">
            <v>1287145</v>
          </cell>
          <cell r="AB376">
            <v>916034</v>
          </cell>
          <cell r="AC376">
            <v>872973</v>
          </cell>
          <cell r="AD376">
            <v>1077125</v>
          </cell>
          <cell r="AE376">
            <v>968580</v>
          </cell>
          <cell r="AF376">
            <v>972928</v>
          </cell>
          <cell r="AG376">
            <v>977736</v>
          </cell>
          <cell r="AI376">
            <v>1162696</v>
          </cell>
        </row>
        <row r="377">
          <cell r="I377">
            <v>229382</v>
          </cell>
          <cell r="J377">
            <v>285211</v>
          </cell>
          <cell r="K377">
            <v>299413</v>
          </cell>
          <cell r="L377">
            <v>415368</v>
          </cell>
          <cell r="M377">
            <v>437753</v>
          </cell>
          <cell r="N377">
            <v>413858</v>
          </cell>
          <cell r="O377">
            <v>398729</v>
          </cell>
          <cell r="P377">
            <v>262664</v>
          </cell>
          <cell r="Q377">
            <v>237193</v>
          </cell>
          <cell r="R377">
            <v>283993</v>
          </cell>
          <cell r="S377">
            <v>288968</v>
          </cell>
          <cell r="T377">
            <v>211497</v>
          </cell>
          <cell r="U377">
            <v>281535</v>
          </cell>
          <cell r="V377">
            <v>280954</v>
          </cell>
          <cell r="W377">
            <v>378188</v>
          </cell>
          <cell r="X377">
            <v>381251</v>
          </cell>
          <cell r="Y377">
            <v>431827</v>
          </cell>
          <cell r="Z377">
            <v>459995</v>
          </cell>
          <cell r="AA377">
            <v>364406</v>
          </cell>
          <cell r="AB377">
            <v>304729</v>
          </cell>
          <cell r="AC377">
            <v>292559</v>
          </cell>
          <cell r="AD377">
            <v>316895</v>
          </cell>
          <cell r="AE377">
            <v>275957</v>
          </cell>
          <cell r="AF377">
            <v>270089</v>
          </cell>
          <cell r="AG377">
            <v>280166</v>
          </cell>
          <cell r="AI377">
            <v>285211</v>
          </cell>
        </row>
        <row r="378">
          <cell r="I378">
            <v>46667</v>
          </cell>
          <cell r="J378">
            <v>40123</v>
          </cell>
          <cell r="K378">
            <v>45494</v>
          </cell>
          <cell r="L378">
            <v>61580</v>
          </cell>
          <cell r="M378">
            <v>61398</v>
          </cell>
          <cell r="N378">
            <v>73990</v>
          </cell>
          <cell r="O378">
            <v>58428</v>
          </cell>
          <cell r="P378">
            <v>36738</v>
          </cell>
          <cell r="Q378">
            <v>35335</v>
          </cell>
          <cell r="R378">
            <v>43772</v>
          </cell>
          <cell r="S378">
            <v>44976</v>
          </cell>
          <cell r="T378">
            <v>46068</v>
          </cell>
          <cell r="U378">
            <v>48821</v>
          </cell>
          <cell r="V378">
            <v>35205</v>
          </cell>
          <cell r="W378">
            <v>46817</v>
          </cell>
          <cell r="X378">
            <v>47440</v>
          </cell>
          <cell r="Y378">
            <v>59077</v>
          </cell>
          <cell r="Z378">
            <v>75718</v>
          </cell>
          <cell r="AA378">
            <v>44384</v>
          </cell>
          <cell r="AB378">
            <v>37922</v>
          </cell>
          <cell r="AC378">
            <v>39411</v>
          </cell>
          <cell r="AD378">
            <v>44316</v>
          </cell>
          <cell r="AE378">
            <v>35103</v>
          </cell>
          <cell r="AF378">
            <v>56886</v>
          </cell>
          <cell r="AG378">
            <v>38316</v>
          </cell>
          <cell r="AI378">
            <v>40123</v>
          </cell>
        </row>
        <row r="379">
          <cell r="I379">
            <v>160185</v>
          </cell>
          <cell r="J379">
            <v>166278</v>
          </cell>
          <cell r="K379">
            <v>151284</v>
          </cell>
          <cell r="L379">
            <v>162416</v>
          </cell>
          <cell r="M379">
            <v>180255</v>
          </cell>
          <cell r="N379">
            <v>192123</v>
          </cell>
          <cell r="O379">
            <v>177035</v>
          </cell>
          <cell r="P379">
            <v>144048</v>
          </cell>
          <cell r="Q379">
            <v>154591</v>
          </cell>
          <cell r="R379">
            <v>194150</v>
          </cell>
          <cell r="S379">
            <v>166945</v>
          </cell>
          <cell r="T379">
            <v>153504</v>
          </cell>
          <cell r="U379">
            <v>155696</v>
          </cell>
          <cell r="V379">
            <v>185231</v>
          </cell>
          <cell r="W379">
            <v>160314</v>
          </cell>
          <cell r="X379">
            <v>170800</v>
          </cell>
          <cell r="Y379">
            <v>191731</v>
          </cell>
          <cell r="Z379">
            <v>191620</v>
          </cell>
          <cell r="AA379">
            <v>191114</v>
          </cell>
          <cell r="AB379">
            <v>149734</v>
          </cell>
          <cell r="AC379">
            <v>163210</v>
          </cell>
          <cell r="AD379">
            <v>207181</v>
          </cell>
          <cell r="AE379">
            <v>194836</v>
          </cell>
          <cell r="AF379">
            <v>135142</v>
          </cell>
          <cell r="AG379">
            <v>147303</v>
          </cell>
          <cell r="AI379">
            <v>166278</v>
          </cell>
        </row>
        <row r="380">
          <cell r="I380">
            <v>62101</v>
          </cell>
          <cell r="J380">
            <v>68279</v>
          </cell>
          <cell r="K380">
            <v>77095</v>
          </cell>
          <cell r="L380">
            <v>93896</v>
          </cell>
          <cell r="M380">
            <v>110426</v>
          </cell>
          <cell r="N380">
            <v>127748</v>
          </cell>
          <cell r="O380">
            <v>109313</v>
          </cell>
          <cell r="P380">
            <v>73987</v>
          </cell>
          <cell r="Q380">
            <v>73623</v>
          </cell>
          <cell r="R380">
            <v>65821</v>
          </cell>
          <cell r="S380">
            <v>67779</v>
          </cell>
          <cell r="T380">
            <v>60338</v>
          </cell>
          <cell r="U380">
            <v>62381</v>
          </cell>
          <cell r="V380">
            <v>67709</v>
          </cell>
          <cell r="W380">
            <v>75643</v>
          </cell>
          <cell r="X380">
            <v>93663</v>
          </cell>
          <cell r="Y380">
            <v>114987</v>
          </cell>
          <cell r="Z380">
            <v>147280</v>
          </cell>
          <cell r="AA380">
            <v>174927</v>
          </cell>
          <cell r="AB380">
            <v>17001</v>
          </cell>
          <cell r="AC380">
            <v>67149</v>
          </cell>
          <cell r="AD380">
            <v>58388</v>
          </cell>
          <cell r="AE380">
            <v>63506</v>
          </cell>
          <cell r="AF380">
            <v>58667</v>
          </cell>
          <cell r="AG380">
            <v>51480</v>
          </cell>
          <cell r="AI380">
            <v>68279</v>
          </cell>
        </row>
        <row r="381">
          <cell r="I381">
            <v>41644</v>
          </cell>
          <cell r="J381">
            <v>42097</v>
          </cell>
          <cell r="K381">
            <v>41926</v>
          </cell>
          <cell r="L381">
            <v>69415</v>
          </cell>
          <cell r="M381">
            <v>79279</v>
          </cell>
          <cell r="N381">
            <v>67487</v>
          </cell>
          <cell r="O381">
            <v>85593</v>
          </cell>
          <cell r="P381">
            <v>50564</v>
          </cell>
          <cell r="Q381">
            <v>48054</v>
          </cell>
          <cell r="R381">
            <v>54493</v>
          </cell>
          <cell r="S381">
            <v>40578</v>
          </cell>
          <cell r="T381">
            <v>33261</v>
          </cell>
          <cell r="U381">
            <v>37039</v>
          </cell>
          <cell r="V381">
            <v>47753</v>
          </cell>
          <cell r="W381">
            <v>50243</v>
          </cell>
          <cell r="X381">
            <v>59539</v>
          </cell>
          <cell r="Y381">
            <v>74999</v>
          </cell>
          <cell r="Z381">
            <v>83967</v>
          </cell>
          <cell r="AA381">
            <v>87156</v>
          </cell>
          <cell r="AB381">
            <v>56736</v>
          </cell>
          <cell r="AC381">
            <v>51211</v>
          </cell>
          <cell r="AD381">
            <v>52296</v>
          </cell>
          <cell r="AE381">
            <v>40994</v>
          </cell>
          <cell r="AF381">
            <v>30012</v>
          </cell>
          <cell r="AG381">
            <v>29482</v>
          </cell>
          <cell r="AI381">
            <v>42097</v>
          </cell>
        </row>
        <row r="382">
          <cell r="I382">
            <v>405341</v>
          </cell>
          <cell r="J382">
            <v>397304</v>
          </cell>
          <cell r="K382">
            <v>348262</v>
          </cell>
          <cell r="L382">
            <v>550233</v>
          </cell>
          <cell r="M382">
            <v>542833</v>
          </cell>
          <cell r="N382">
            <v>788951</v>
          </cell>
          <cell r="O382">
            <v>403171</v>
          </cell>
          <cell r="P382">
            <v>425308</v>
          </cell>
          <cell r="Q382">
            <v>276417</v>
          </cell>
          <cell r="R382">
            <v>389202</v>
          </cell>
          <cell r="S382">
            <v>419779</v>
          </cell>
          <cell r="T382">
            <v>392018</v>
          </cell>
          <cell r="U382">
            <v>421099</v>
          </cell>
          <cell r="V382">
            <v>418887</v>
          </cell>
          <cell r="W382">
            <v>434232</v>
          </cell>
          <cell r="X382">
            <v>443076</v>
          </cell>
          <cell r="Y382">
            <v>552294</v>
          </cell>
          <cell r="Z382">
            <v>796913</v>
          </cell>
          <cell r="AA382">
            <v>385444</v>
          </cell>
          <cell r="AB382">
            <v>398832</v>
          </cell>
          <cell r="AC382">
            <v>341666</v>
          </cell>
          <cell r="AD382">
            <v>389442</v>
          </cell>
          <cell r="AE382">
            <v>420455</v>
          </cell>
          <cell r="AF382">
            <v>416043</v>
          </cell>
          <cell r="AG382">
            <v>386878</v>
          </cell>
          <cell r="AI382">
            <v>397304</v>
          </cell>
        </row>
        <row r="383">
          <cell r="I383">
            <v>1029641</v>
          </cell>
          <cell r="J383">
            <v>1663367</v>
          </cell>
          <cell r="K383">
            <v>371792</v>
          </cell>
          <cell r="L383">
            <v>1161799</v>
          </cell>
          <cell r="M383">
            <v>1207386</v>
          </cell>
          <cell r="N383">
            <v>1156964</v>
          </cell>
          <cell r="O383">
            <v>1270418</v>
          </cell>
          <cell r="P383">
            <v>1153374</v>
          </cell>
          <cell r="Q383">
            <v>1043678</v>
          </cell>
          <cell r="R383">
            <v>1204609</v>
          </cell>
          <cell r="S383">
            <v>1148956</v>
          </cell>
          <cell r="T383">
            <v>1149357</v>
          </cell>
          <cell r="U383">
            <v>1024509</v>
          </cell>
          <cell r="V383">
            <v>1115739</v>
          </cell>
          <cell r="W383">
            <v>1155335</v>
          </cell>
          <cell r="X383">
            <v>1168826</v>
          </cell>
          <cell r="Y383">
            <v>1338379</v>
          </cell>
          <cell r="Z383">
            <v>1336147</v>
          </cell>
          <cell r="AA383">
            <v>1260041</v>
          </cell>
          <cell r="AB383">
            <v>1184175</v>
          </cell>
          <cell r="AC383">
            <v>1054176</v>
          </cell>
          <cell r="AD383">
            <v>1202066</v>
          </cell>
          <cell r="AE383">
            <v>441258</v>
          </cell>
          <cell r="AF383">
            <v>377139</v>
          </cell>
          <cell r="AG383">
            <v>303055</v>
          </cell>
          <cell r="AI383">
            <v>1663367</v>
          </cell>
        </row>
        <row r="385">
          <cell r="I385">
            <v>12530</v>
          </cell>
          <cell r="J385">
            <v>11030</v>
          </cell>
          <cell r="K385">
            <v>14180</v>
          </cell>
          <cell r="L385">
            <v>14870</v>
          </cell>
          <cell r="M385">
            <v>14960</v>
          </cell>
          <cell r="N385">
            <v>19690</v>
          </cell>
          <cell r="O385">
            <v>12890</v>
          </cell>
          <cell r="P385">
            <v>10540</v>
          </cell>
          <cell r="Q385">
            <v>11180</v>
          </cell>
          <cell r="R385">
            <v>12730</v>
          </cell>
          <cell r="S385">
            <v>10790</v>
          </cell>
          <cell r="T385">
            <v>12010</v>
          </cell>
          <cell r="U385">
            <v>14420</v>
          </cell>
          <cell r="V385">
            <v>11480</v>
          </cell>
          <cell r="W385">
            <v>12800</v>
          </cell>
          <cell r="X385">
            <v>15900</v>
          </cell>
          <cell r="Y385">
            <v>12520</v>
          </cell>
          <cell r="Z385">
            <v>14080</v>
          </cell>
          <cell r="AA385">
            <v>12850</v>
          </cell>
          <cell r="AB385">
            <v>10360</v>
          </cell>
          <cell r="AC385">
            <v>13510</v>
          </cell>
          <cell r="AD385">
            <v>13350</v>
          </cell>
          <cell r="AE385">
            <v>12870</v>
          </cell>
          <cell r="AF385">
            <v>13640</v>
          </cell>
          <cell r="AG385">
            <v>15920</v>
          </cell>
          <cell r="AI385">
            <v>11030</v>
          </cell>
        </row>
        <row r="386"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I386">
            <v>0</v>
          </cell>
        </row>
        <row r="387"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I387">
            <v>0</v>
          </cell>
        </row>
        <row r="388">
          <cell r="I388">
            <v>12281</v>
          </cell>
          <cell r="J388">
            <v>10250</v>
          </cell>
          <cell r="K388">
            <v>10361</v>
          </cell>
          <cell r="L388">
            <v>11493</v>
          </cell>
          <cell r="M388">
            <v>11466</v>
          </cell>
          <cell r="N388">
            <v>12299</v>
          </cell>
          <cell r="O388">
            <v>10356</v>
          </cell>
          <cell r="P388">
            <v>8315</v>
          </cell>
          <cell r="Q388">
            <v>7931</v>
          </cell>
          <cell r="R388">
            <v>10512</v>
          </cell>
          <cell r="S388">
            <v>8829</v>
          </cell>
          <cell r="T388">
            <v>9090</v>
          </cell>
          <cell r="U388">
            <v>9912</v>
          </cell>
          <cell r="V388">
            <v>10136</v>
          </cell>
          <cell r="W388">
            <v>9580</v>
          </cell>
          <cell r="X388">
            <v>11070</v>
          </cell>
          <cell r="Y388">
            <v>10988</v>
          </cell>
          <cell r="Z388">
            <v>11113</v>
          </cell>
          <cell r="AA388">
            <v>9588</v>
          </cell>
          <cell r="AB388">
            <v>10161</v>
          </cell>
          <cell r="AC388">
            <v>9133</v>
          </cell>
          <cell r="AD388">
            <v>10028</v>
          </cell>
          <cell r="AE388">
            <v>9551</v>
          </cell>
          <cell r="AF388">
            <v>9767</v>
          </cell>
          <cell r="AG388">
            <v>10987</v>
          </cell>
          <cell r="AI388">
            <v>10250</v>
          </cell>
        </row>
        <row r="389">
          <cell r="I389">
            <v>5</v>
          </cell>
          <cell r="J389">
            <v>6</v>
          </cell>
          <cell r="K389">
            <v>5</v>
          </cell>
          <cell r="L389">
            <v>6</v>
          </cell>
          <cell r="M389">
            <v>5</v>
          </cell>
          <cell r="N389">
            <v>5</v>
          </cell>
          <cell r="O389">
            <v>5</v>
          </cell>
          <cell r="P389">
            <v>5</v>
          </cell>
          <cell r="Q389">
            <v>4</v>
          </cell>
          <cell r="R389">
            <v>4</v>
          </cell>
          <cell r="S389">
            <v>5</v>
          </cell>
          <cell r="T389">
            <v>3</v>
          </cell>
          <cell r="U389">
            <v>3</v>
          </cell>
          <cell r="V389">
            <v>4</v>
          </cell>
          <cell r="W389">
            <v>3</v>
          </cell>
          <cell r="X389">
            <v>7</v>
          </cell>
          <cell r="Y389">
            <v>6</v>
          </cell>
          <cell r="Z389">
            <v>4</v>
          </cell>
          <cell r="AA389">
            <v>5</v>
          </cell>
          <cell r="AB389">
            <v>4</v>
          </cell>
          <cell r="AC389">
            <v>3</v>
          </cell>
          <cell r="AD389">
            <v>4</v>
          </cell>
          <cell r="AE389">
            <v>4</v>
          </cell>
          <cell r="AF389">
            <v>7</v>
          </cell>
          <cell r="AG389">
            <v>6</v>
          </cell>
          <cell r="AI389">
            <v>6</v>
          </cell>
        </row>
        <row r="390">
          <cell r="I390">
            <v>12238</v>
          </cell>
          <cell r="J390">
            <v>12655</v>
          </cell>
          <cell r="K390">
            <v>12283</v>
          </cell>
          <cell r="L390">
            <v>12321</v>
          </cell>
          <cell r="M390">
            <v>15756</v>
          </cell>
          <cell r="N390">
            <v>20138</v>
          </cell>
          <cell r="O390">
            <v>15160</v>
          </cell>
          <cell r="P390">
            <v>13720</v>
          </cell>
          <cell r="Q390">
            <v>15600</v>
          </cell>
          <cell r="R390">
            <v>16240</v>
          </cell>
          <cell r="S390">
            <v>14000</v>
          </cell>
          <cell r="T390">
            <v>14200</v>
          </cell>
          <cell r="U390">
            <v>15240</v>
          </cell>
          <cell r="V390">
            <v>13480</v>
          </cell>
          <cell r="W390">
            <v>17880</v>
          </cell>
          <cell r="X390">
            <v>18120</v>
          </cell>
          <cell r="Y390">
            <v>18760</v>
          </cell>
          <cell r="Z390">
            <v>21600</v>
          </cell>
          <cell r="AA390">
            <v>18160</v>
          </cell>
          <cell r="AB390">
            <v>14880</v>
          </cell>
          <cell r="AC390">
            <v>11560</v>
          </cell>
          <cell r="AD390">
            <v>14920</v>
          </cell>
          <cell r="AE390">
            <v>16760</v>
          </cell>
          <cell r="AF390">
            <v>16960</v>
          </cell>
          <cell r="AG390">
            <v>15880</v>
          </cell>
          <cell r="AI390">
            <v>12655</v>
          </cell>
        </row>
        <row r="391">
          <cell r="I391">
            <v>88738</v>
          </cell>
          <cell r="J391">
            <v>84910</v>
          </cell>
          <cell r="K391">
            <v>97315</v>
          </cell>
          <cell r="L391">
            <v>98111</v>
          </cell>
          <cell r="M391">
            <v>101627</v>
          </cell>
          <cell r="N391">
            <v>119163</v>
          </cell>
          <cell r="O391">
            <v>89514</v>
          </cell>
          <cell r="P391">
            <v>86377</v>
          </cell>
          <cell r="Q391">
            <v>93996</v>
          </cell>
          <cell r="R391">
            <v>91830</v>
          </cell>
          <cell r="S391">
            <v>89530</v>
          </cell>
          <cell r="T391">
            <v>98880</v>
          </cell>
          <cell r="U391">
            <v>89471</v>
          </cell>
          <cell r="V391">
            <v>80549</v>
          </cell>
          <cell r="W391">
            <v>97585</v>
          </cell>
          <cell r="X391">
            <v>91860</v>
          </cell>
          <cell r="Y391">
            <v>110831</v>
          </cell>
          <cell r="Z391">
            <v>124452</v>
          </cell>
          <cell r="AA391">
            <v>106029</v>
          </cell>
          <cell r="AB391">
            <v>83880</v>
          </cell>
          <cell r="AC391">
            <v>89410</v>
          </cell>
          <cell r="AD391">
            <v>92655</v>
          </cell>
          <cell r="AE391">
            <v>96238</v>
          </cell>
          <cell r="AF391">
            <v>94935</v>
          </cell>
          <cell r="AG391">
            <v>84474</v>
          </cell>
          <cell r="AI391">
            <v>84910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I392">
            <v>0</v>
          </cell>
        </row>
        <row r="393"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I393">
            <v>0</v>
          </cell>
        </row>
        <row r="394"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I394">
            <v>0</v>
          </cell>
        </row>
        <row r="395"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I395">
            <v>0</v>
          </cell>
        </row>
        <row r="396"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I396">
            <v>0</v>
          </cell>
        </row>
        <row r="397">
          <cell r="I397">
            <v>17936</v>
          </cell>
          <cell r="J397">
            <v>24056</v>
          </cell>
          <cell r="K397">
            <v>29644</v>
          </cell>
          <cell r="L397">
            <v>33140</v>
          </cell>
          <cell r="M397">
            <v>35248</v>
          </cell>
          <cell r="N397">
            <v>43080</v>
          </cell>
          <cell r="O397">
            <v>29228</v>
          </cell>
          <cell r="P397">
            <v>24356</v>
          </cell>
          <cell r="Q397">
            <v>18968</v>
          </cell>
          <cell r="R397">
            <v>26152</v>
          </cell>
          <cell r="S397">
            <v>16324</v>
          </cell>
          <cell r="T397">
            <v>18512</v>
          </cell>
          <cell r="U397">
            <v>16192</v>
          </cell>
          <cell r="V397">
            <v>18756</v>
          </cell>
          <cell r="W397">
            <v>28192</v>
          </cell>
          <cell r="X397">
            <v>31556</v>
          </cell>
          <cell r="Y397">
            <v>37350</v>
          </cell>
          <cell r="Z397">
            <v>41518</v>
          </cell>
          <cell r="AA397">
            <v>35362</v>
          </cell>
          <cell r="AB397">
            <v>30228</v>
          </cell>
          <cell r="AC397">
            <v>28091</v>
          </cell>
          <cell r="AD397">
            <v>19064</v>
          </cell>
          <cell r="AE397">
            <v>20499</v>
          </cell>
          <cell r="AF397">
            <v>25718</v>
          </cell>
          <cell r="AG397">
            <v>26275</v>
          </cell>
          <cell r="AI397">
            <v>24056</v>
          </cell>
        </row>
        <row r="398"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I398">
            <v>0</v>
          </cell>
        </row>
        <row r="399">
          <cell r="I399">
            <v>10560</v>
          </cell>
          <cell r="J399">
            <v>11616</v>
          </cell>
          <cell r="K399">
            <v>12192</v>
          </cell>
          <cell r="L399">
            <v>12576</v>
          </cell>
          <cell r="M399">
            <v>13056</v>
          </cell>
          <cell r="N399">
            <v>15168</v>
          </cell>
          <cell r="O399">
            <v>12480</v>
          </cell>
          <cell r="P399">
            <v>10272</v>
          </cell>
          <cell r="Q399">
            <v>11424</v>
          </cell>
          <cell r="R399">
            <v>10368</v>
          </cell>
          <cell r="S399">
            <v>11232</v>
          </cell>
          <cell r="T399">
            <v>11136</v>
          </cell>
          <cell r="U399">
            <v>11904</v>
          </cell>
          <cell r="V399">
            <v>9696</v>
          </cell>
          <cell r="W399">
            <v>13536</v>
          </cell>
          <cell r="X399">
            <v>12384</v>
          </cell>
          <cell r="Y399">
            <v>13728</v>
          </cell>
          <cell r="Z399">
            <v>12672</v>
          </cell>
          <cell r="AA399">
            <v>12480</v>
          </cell>
          <cell r="AB399">
            <v>9984</v>
          </cell>
          <cell r="AC399">
            <v>10848</v>
          </cell>
          <cell r="AD399">
            <v>11136</v>
          </cell>
          <cell r="AE399">
            <v>11520</v>
          </cell>
          <cell r="AF399">
            <v>10368</v>
          </cell>
          <cell r="AG399">
            <v>10080</v>
          </cell>
          <cell r="AI399">
            <v>11616</v>
          </cell>
        </row>
        <row r="400"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I400">
            <v>0</v>
          </cell>
        </row>
        <row r="401"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I401">
            <v>0</v>
          </cell>
        </row>
        <row r="402">
          <cell r="I402">
            <v>946</v>
          </cell>
          <cell r="J402">
            <v>1146</v>
          </cell>
          <cell r="K402">
            <v>945</v>
          </cell>
          <cell r="L402">
            <v>1404</v>
          </cell>
          <cell r="M402">
            <v>1362</v>
          </cell>
          <cell r="N402">
            <v>1796</v>
          </cell>
          <cell r="O402">
            <v>1025</v>
          </cell>
          <cell r="P402">
            <v>864</v>
          </cell>
          <cell r="Q402">
            <v>909</v>
          </cell>
          <cell r="R402">
            <v>704</v>
          </cell>
          <cell r="S402">
            <v>787</v>
          </cell>
          <cell r="T402">
            <v>480</v>
          </cell>
          <cell r="U402">
            <v>943</v>
          </cell>
          <cell r="V402">
            <v>931</v>
          </cell>
          <cell r="W402">
            <v>1203</v>
          </cell>
          <cell r="X402">
            <v>1411</v>
          </cell>
          <cell r="Y402">
            <v>1616</v>
          </cell>
          <cell r="Z402">
            <v>1448</v>
          </cell>
          <cell r="AA402">
            <v>224</v>
          </cell>
          <cell r="AB402">
            <v>256</v>
          </cell>
          <cell r="AC402">
            <v>227</v>
          </cell>
          <cell r="AD402">
            <v>189</v>
          </cell>
          <cell r="AE402">
            <v>42</v>
          </cell>
          <cell r="AF402">
            <v>-482</v>
          </cell>
          <cell r="AG402">
            <v>591</v>
          </cell>
          <cell r="AI402">
            <v>1146</v>
          </cell>
        </row>
        <row r="403">
          <cell r="I403">
            <v>0</v>
          </cell>
          <cell r="J403">
            <v>3330</v>
          </cell>
          <cell r="K403">
            <v>5270</v>
          </cell>
          <cell r="L403">
            <v>6680</v>
          </cell>
          <cell r="M403">
            <v>6970</v>
          </cell>
          <cell r="N403">
            <v>7350</v>
          </cell>
          <cell r="O403">
            <v>6480</v>
          </cell>
          <cell r="P403">
            <v>5440</v>
          </cell>
          <cell r="Q403">
            <v>4470</v>
          </cell>
          <cell r="R403">
            <v>5010</v>
          </cell>
          <cell r="S403">
            <v>6120</v>
          </cell>
          <cell r="T403">
            <v>6670</v>
          </cell>
          <cell r="U403">
            <v>6530</v>
          </cell>
          <cell r="V403">
            <v>5390</v>
          </cell>
          <cell r="W403">
            <v>6310</v>
          </cell>
          <cell r="X403">
            <v>6600</v>
          </cell>
          <cell r="Y403">
            <v>7320</v>
          </cell>
          <cell r="Z403">
            <v>6640</v>
          </cell>
          <cell r="AA403">
            <v>6150</v>
          </cell>
          <cell r="AB403">
            <v>6150</v>
          </cell>
          <cell r="AC403">
            <v>5540</v>
          </cell>
          <cell r="AD403">
            <v>5120</v>
          </cell>
          <cell r="AE403">
            <v>4710</v>
          </cell>
          <cell r="AF403">
            <v>4340</v>
          </cell>
          <cell r="AG403">
            <v>4710</v>
          </cell>
          <cell r="AI403">
            <v>3330</v>
          </cell>
        </row>
        <row r="404">
          <cell r="I404">
            <v>3093</v>
          </cell>
          <cell r="J404">
            <v>3826</v>
          </cell>
          <cell r="K404">
            <v>3571</v>
          </cell>
          <cell r="L404">
            <v>4702</v>
          </cell>
          <cell r="M404">
            <v>4256</v>
          </cell>
          <cell r="N404">
            <v>3634</v>
          </cell>
          <cell r="O404">
            <v>5590</v>
          </cell>
          <cell r="P404">
            <v>3396</v>
          </cell>
          <cell r="Q404">
            <v>2725</v>
          </cell>
          <cell r="R404">
            <v>4043</v>
          </cell>
          <cell r="S404">
            <v>4203</v>
          </cell>
          <cell r="T404">
            <v>3755</v>
          </cell>
          <cell r="U404">
            <v>4741</v>
          </cell>
          <cell r="V404">
            <v>3880</v>
          </cell>
          <cell r="W404">
            <v>4211</v>
          </cell>
          <cell r="X404">
            <v>4974</v>
          </cell>
          <cell r="Y404">
            <v>4559</v>
          </cell>
          <cell r="Z404">
            <v>4227</v>
          </cell>
          <cell r="AA404">
            <v>5315</v>
          </cell>
          <cell r="AB404">
            <v>2182</v>
          </cell>
          <cell r="AC404">
            <v>2361</v>
          </cell>
          <cell r="AD404">
            <v>2223</v>
          </cell>
          <cell r="AE404">
            <v>2741</v>
          </cell>
          <cell r="AF404">
            <v>2822</v>
          </cell>
          <cell r="AG404">
            <v>2651</v>
          </cell>
          <cell r="AI404">
            <v>3826</v>
          </cell>
        </row>
        <row r="406">
          <cell r="I406">
            <v>2813890</v>
          </cell>
          <cell r="J406">
            <v>3229623</v>
          </cell>
          <cell r="K406">
            <v>4256346</v>
          </cell>
          <cell r="L406">
            <v>4509978</v>
          </cell>
          <cell r="M406">
            <v>4623069</v>
          </cell>
          <cell r="N406">
            <v>4876609</v>
          </cell>
          <cell r="O406">
            <v>3531606</v>
          </cell>
          <cell r="P406">
            <v>2870824</v>
          </cell>
          <cell r="Q406">
            <v>2813592</v>
          </cell>
          <cell r="R406">
            <v>2861370</v>
          </cell>
          <cell r="S406">
            <v>2951150</v>
          </cell>
          <cell r="T406">
            <v>2674993</v>
          </cell>
          <cell r="U406">
            <v>2807308</v>
          </cell>
          <cell r="V406">
            <v>3271605</v>
          </cell>
          <cell r="W406">
            <v>3567155</v>
          </cell>
          <cell r="X406">
            <v>4347638</v>
          </cell>
          <cell r="Y406">
            <v>4794199</v>
          </cell>
          <cell r="Z406">
            <v>4689605</v>
          </cell>
          <cell r="AA406">
            <v>3654041</v>
          </cell>
          <cell r="AB406">
            <v>2886253</v>
          </cell>
          <cell r="AC406">
            <v>2728068</v>
          </cell>
          <cell r="AD406">
            <v>3037262</v>
          </cell>
          <cell r="AE406">
            <v>2667590</v>
          </cell>
          <cell r="AF406">
            <v>2492789</v>
          </cell>
          <cell r="AG406">
            <v>2681795</v>
          </cell>
          <cell r="AI406">
            <v>3229623</v>
          </cell>
        </row>
        <row r="407">
          <cell r="I407">
            <v>4861108</v>
          </cell>
          <cell r="J407">
            <v>5085582</v>
          </cell>
          <cell r="K407">
            <v>6632222</v>
          </cell>
          <cell r="L407">
            <v>6655675</v>
          </cell>
          <cell r="M407">
            <v>6591617</v>
          </cell>
          <cell r="N407">
            <v>7363557</v>
          </cell>
          <cell r="O407">
            <v>5496246</v>
          </cell>
          <cell r="P407">
            <v>4923486</v>
          </cell>
          <cell r="Q407">
            <v>4482022</v>
          </cell>
          <cell r="R407">
            <v>4416630</v>
          </cell>
          <cell r="S407">
            <v>4042442</v>
          </cell>
          <cell r="T407">
            <v>4606024</v>
          </cell>
          <cell r="U407">
            <v>4302407</v>
          </cell>
          <cell r="V407">
            <v>5133744</v>
          </cell>
          <cell r="W407">
            <v>5371522</v>
          </cell>
          <cell r="X407">
            <v>5589826</v>
          </cell>
          <cell r="Y407">
            <v>6959648</v>
          </cell>
          <cell r="Z407">
            <v>6663394</v>
          </cell>
          <cell r="AA407">
            <v>5431465</v>
          </cell>
          <cell r="AB407">
            <v>4105136</v>
          </cell>
          <cell r="AC407">
            <v>3899890</v>
          </cell>
          <cell r="AD407">
            <v>4282857</v>
          </cell>
          <cell r="AE407">
            <v>4083212</v>
          </cell>
          <cell r="AF407">
            <v>3820244</v>
          </cell>
          <cell r="AG407">
            <v>4055935</v>
          </cell>
          <cell r="AI407">
            <v>5085582</v>
          </cell>
        </row>
        <row r="408">
          <cell r="I408">
            <v>1544641</v>
          </cell>
          <cell r="J408">
            <v>1789187</v>
          </cell>
          <cell r="K408">
            <v>2330982</v>
          </cell>
          <cell r="L408">
            <v>2733661</v>
          </cell>
          <cell r="M408">
            <v>2923821</v>
          </cell>
          <cell r="N408">
            <v>3224117</v>
          </cell>
          <cell r="O408">
            <v>2209872</v>
          </cell>
          <cell r="P408">
            <v>1511938</v>
          </cell>
          <cell r="Q408">
            <v>1560987</v>
          </cell>
          <cell r="R408">
            <v>1723832</v>
          </cell>
          <cell r="S408">
            <v>1774725</v>
          </cell>
          <cell r="T408">
            <v>1724043</v>
          </cell>
          <cell r="U408">
            <v>1599040</v>
          </cell>
          <cell r="V408">
            <v>1808174</v>
          </cell>
          <cell r="W408">
            <v>2276965</v>
          </cell>
          <cell r="X408">
            <v>2597226</v>
          </cell>
          <cell r="Y408">
            <v>3303179</v>
          </cell>
          <cell r="Z408">
            <v>3278325</v>
          </cell>
          <cell r="AA408">
            <v>2263047</v>
          </cell>
          <cell r="AB408">
            <v>1649722</v>
          </cell>
          <cell r="AC408">
            <v>1541852</v>
          </cell>
          <cell r="AD408">
            <v>1837147</v>
          </cell>
          <cell r="AE408">
            <v>1691259</v>
          </cell>
          <cell r="AF408">
            <v>1656491</v>
          </cell>
          <cell r="AG408">
            <v>1426701</v>
          </cell>
          <cell r="AI408">
            <v>1789187</v>
          </cell>
        </row>
        <row r="409">
          <cell r="I409">
            <v>2877407</v>
          </cell>
          <cell r="J409">
            <v>3182357</v>
          </cell>
          <cell r="K409">
            <v>4195690</v>
          </cell>
          <cell r="L409">
            <v>4704446</v>
          </cell>
          <cell r="M409">
            <v>4943444</v>
          </cell>
          <cell r="N409">
            <v>5201884</v>
          </cell>
          <cell r="O409">
            <v>3859509</v>
          </cell>
          <cell r="P409">
            <v>2628211</v>
          </cell>
          <cell r="Q409">
            <v>2660348</v>
          </cell>
          <cell r="R409">
            <v>2872080</v>
          </cell>
          <cell r="S409">
            <v>2812545</v>
          </cell>
          <cell r="T409">
            <v>2964662</v>
          </cell>
          <cell r="U409">
            <v>2729102</v>
          </cell>
          <cell r="V409">
            <v>3083634</v>
          </cell>
          <cell r="W409">
            <v>4126833</v>
          </cell>
          <cell r="X409">
            <v>4590834</v>
          </cell>
          <cell r="Y409">
            <v>5786684</v>
          </cell>
          <cell r="Z409">
            <v>5470984</v>
          </cell>
          <cell r="AA409">
            <v>4020444</v>
          </cell>
          <cell r="AB409">
            <v>2932621</v>
          </cell>
          <cell r="AC409">
            <v>2787654</v>
          </cell>
          <cell r="AD409">
            <v>3106029</v>
          </cell>
          <cell r="AE409">
            <v>2767588</v>
          </cell>
          <cell r="AF409">
            <v>2693631</v>
          </cell>
          <cell r="AG409">
            <v>2629308</v>
          </cell>
          <cell r="AI409">
            <v>3182357</v>
          </cell>
        </row>
        <row r="410">
          <cell r="I410">
            <v>2036816</v>
          </cell>
          <cell r="J410">
            <v>2432162</v>
          </cell>
          <cell r="K410">
            <v>3131686</v>
          </cell>
          <cell r="L410">
            <v>3730740</v>
          </cell>
          <cell r="M410">
            <v>4262916</v>
          </cell>
          <cell r="N410">
            <v>4177166</v>
          </cell>
          <cell r="O410">
            <v>3171848</v>
          </cell>
          <cell r="P410">
            <v>1968181</v>
          </cell>
          <cell r="Q410">
            <v>1956990</v>
          </cell>
          <cell r="R410">
            <v>2313572</v>
          </cell>
          <cell r="S410">
            <v>2265007</v>
          </cell>
          <cell r="T410">
            <v>2224977</v>
          </cell>
          <cell r="U410">
            <v>2100417</v>
          </cell>
          <cell r="V410">
            <v>2211558</v>
          </cell>
          <cell r="W410">
            <v>3075273</v>
          </cell>
          <cell r="X410">
            <v>3412629</v>
          </cell>
          <cell r="Y410">
            <v>4564557</v>
          </cell>
          <cell r="Z410">
            <v>4443481</v>
          </cell>
          <cell r="AA410">
            <v>3242229</v>
          </cell>
          <cell r="AB410">
            <v>2104537</v>
          </cell>
          <cell r="AC410">
            <v>2053439</v>
          </cell>
          <cell r="AD410">
            <v>2442627</v>
          </cell>
          <cell r="AE410">
            <v>2162976</v>
          </cell>
          <cell r="AF410">
            <v>2164068</v>
          </cell>
          <cell r="AG410">
            <v>1981798</v>
          </cell>
          <cell r="AI410">
            <v>2432162</v>
          </cell>
        </row>
        <row r="411">
          <cell r="I411">
            <v>2652551</v>
          </cell>
          <cell r="J411">
            <v>3002645</v>
          </cell>
          <cell r="K411">
            <v>3625149</v>
          </cell>
          <cell r="L411">
            <v>4354403</v>
          </cell>
          <cell r="M411">
            <v>4681916</v>
          </cell>
          <cell r="N411">
            <v>5145366</v>
          </cell>
          <cell r="O411">
            <v>3841373</v>
          </cell>
          <cell r="P411">
            <v>2707215</v>
          </cell>
          <cell r="Q411">
            <v>2700502</v>
          </cell>
          <cell r="R411">
            <v>2953879</v>
          </cell>
          <cell r="S411">
            <v>3050157</v>
          </cell>
          <cell r="T411">
            <v>3077450</v>
          </cell>
          <cell r="U411">
            <v>2896901</v>
          </cell>
          <cell r="V411">
            <v>2883528</v>
          </cell>
          <cell r="W411">
            <v>3710579</v>
          </cell>
          <cell r="X411">
            <v>4264069</v>
          </cell>
          <cell r="Y411">
            <v>5182997</v>
          </cell>
          <cell r="Z411">
            <v>5351389</v>
          </cell>
          <cell r="AA411">
            <v>4017186</v>
          </cell>
          <cell r="AB411">
            <v>2803164</v>
          </cell>
          <cell r="AC411">
            <v>2748761</v>
          </cell>
          <cell r="AD411">
            <v>3271249</v>
          </cell>
          <cell r="AE411">
            <v>3041159</v>
          </cell>
          <cell r="AF411">
            <v>2936649</v>
          </cell>
          <cell r="AG411">
            <v>2688172</v>
          </cell>
          <cell r="AI411">
            <v>3002645</v>
          </cell>
        </row>
        <row r="412">
          <cell r="I412">
            <v>2378373</v>
          </cell>
          <cell r="J412">
            <v>2634715</v>
          </cell>
          <cell r="K412">
            <v>3069092</v>
          </cell>
          <cell r="L412">
            <v>3810981</v>
          </cell>
          <cell r="M412">
            <v>4063534</v>
          </cell>
          <cell r="N412">
            <v>4415545</v>
          </cell>
          <cell r="O412">
            <v>3313592</v>
          </cell>
          <cell r="P412">
            <v>2386228</v>
          </cell>
          <cell r="Q412">
            <v>2242470</v>
          </cell>
          <cell r="R412">
            <v>2500566</v>
          </cell>
          <cell r="S412">
            <v>2400939</v>
          </cell>
          <cell r="T412">
            <v>2557383</v>
          </cell>
          <cell r="U412">
            <v>2287582</v>
          </cell>
          <cell r="V412">
            <v>2306719</v>
          </cell>
          <cell r="W412">
            <v>3327047</v>
          </cell>
          <cell r="X412">
            <v>3245012</v>
          </cell>
          <cell r="Y412">
            <v>3623444</v>
          </cell>
          <cell r="Z412">
            <v>4235883</v>
          </cell>
          <cell r="AA412">
            <v>3160600</v>
          </cell>
          <cell r="AB412">
            <v>2209770</v>
          </cell>
          <cell r="AC412">
            <v>2404553</v>
          </cell>
          <cell r="AD412">
            <v>2576315</v>
          </cell>
          <cell r="AE412">
            <v>1949423</v>
          </cell>
          <cell r="AF412">
            <v>2066117</v>
          </cell>
          <cell r="AG412">
            <v>1737022</v>
          </cell>
          <cell r="AI412">
            <v>2634715</v>
          </cell>
        </row>
        <row r="413">
          <cell r="I413">
            <v>2119726</v>
          </cell>
          <cell r="J413">
            <v>2531752</v>
          </cell>
          <cell r="K413">
            <v>3117398</v>
          </cell>
          <cell r="L413">
            <v>3971526</v>
          </cell>
          <cell r="M413">
            <v>4386871</v>
          </cell>
          <cell r="N413">
            <v>4444384</v>
          </cell>
          <cell r="O413">
            <v>3298414</v>
          </cell>
          <cell r="P413">
            <v>2204975</v>
          </cell>
          <cell r="Q413">
            <v>2068278</v>
          </cell>
          <cell r="R413">
            <v>2429838</v>
          </cell>
          <cell r="S413">
            <v>2332475</v>
          </cell>
          <cell r="T413">
            <v>2457277</v>
          </cell>
          <cell r="U413">
            <v>2162082</v>
          </cell>
          <cell r="V413">
            <v>2191506</v>
          </cell>
          <cell r="W413">
            <v>3299628</v>
          </cell>
          <cell r="X413">
            <v>3573807</v>
          </cell>
          <cell r="Y413">
            <v>4829232</v>
          </cell>
          <cell r="Z413">
            <v>4945385</v>
          </cell>
          <cell r="AA413">
            <v>3692153</v>
          </cell>
          <cell r="AB413">
            <v>2423778</v>
          </cell>
          <cell r="AC413">
            <v>2215919</v>
          </cell>
          <cell r="AD413">
            <v>2620416</v>
          </cell>
          <cell r="AE413">
            <v>2342069</v>
          </cell>
          <cell r="AF413">
            <v>2346034</v>
          </cell>
          <cell r="AG413">
            <v>2084821</v>
          </cell>
          <cell r="AI413">
            <v>2531752</v>
          </cell>
        </row>
        <row r="414">
          <cell r="I414">
            <v>2311646</v>
          </cell>
          <cell r="J414">
            <v>2606484</v>
          </cell>
          <cell r="K414">
            <v>3116724</v>
          </cell>
          <cell r="L414">
            <v>3785148</v>
          </cell>
          <cell r="M414">
            <v>4165942</v>
          </cell>
          <cell r="N414">
            <v>4315154</v>
          </cell>
          <cell r="O414">
            <v>3323994</v>
          </cell>
          <cell r="P414">
            <v>2429689</v>
          </cell>
          <cell r="Q414">
            <v>2383807</v>
          </cell>
          <cell r="R414">
            <v>2476906</v>
          </cell>
          <cell r="S414">
            <v>2549343</v>
          </cell>
          <cell r="T414">
            <v>2582656</v>
          </cell>
          <cell r="U414">
            <v>2578488</v>
          </cell>
          <cell r="V414">
            <v>2316450</v>
          </cell>
          <cell r="W414">
            <v>3340712</v>
          </cell>
          <cell r="X414">
            <v>3664434</v>
          </cell>
          <cell r="Y414">
            <v>4646737</v>
          </cell>
          <cell r="Z414">
            <v>5000687</v>
          </cell>
          <cell r="AA414">
            <v>3840783</v>
          </cell>
          <cell r="AB414">
            <v>2754022</v>
          </cell>
          <cell r="AC414">
            <v>2646935</v>
          </cell>
          <cell r="AD414">
            <v>2761826</v>
          </cell>
          <cell r="AE414">
            <v>2773576</v>
          </cell>
          <cell r="AF414">
            <v>2846821</v>
          </cell>
          <cell r="AG414">
            <v>2497911</v>
          </cell>
          <cell r="AI414">
            <v>2606484</v>
          </cell>
        </row>
        <row r="415">
          <cell r="I415">
            <v>1949044</v>
          </cell>
          <cell r="J415">
            <v>2137785</v>
          </cell>
          <cell r="K415">
            <v>2433925</v>
          </cell>
          <cell r="L415">
            <v>3404151</v>
          </cell>
          <cell r="M415">
            <v>3786600</v>
          </cell>
          <cell r="N415">
            <v>3707575</v>
          </cell>
          <cell r="O415">
            <v>2877045</v>
          </cell>
          <cell r="P415">
            <v>2114262</v>
          </cell>
          <cell r="Q415">
            <v>1755789</v>
          </cell>
          <cell r="R415">
            <v>1998276</v>
          </cell>
          <cell r="S415">
            <v>2027517</v>
          </cell>
          <cell r="T415">
            <v>2008761</v>
          </cell>
          <cell r="U415">
            <v>1965488</v>
          </cell>
          <cell r="V415">
            <v>1758292</v>
          </cell>
          <cell r="W415">
            <v>2672808</v>
          </cell>
          <cell r="X415">
            <v>2965429</v>
          </cell>
          <cell r="Y415">
            <v>3852989</v>
          </cell>
          <cell r="Z415">
            <v>4149237</v>
          </cell>
          <cell r="AA415">
            <v>3159836</v>
          </cell>
          <cell r="AB415">
            <v>2035451</v>
          </cell>
          <cell r="AC415">
            <v>1815243</v>
          </cell>
          <cell r="AD415">
            <v>2106018</v>
          </cell>
          <cell r="AE415">
            <v>1918691</v>
          </cell>
          <cell r="AF415">
            <v>1950479</v>
          </cell>
          <cell r="AG415">
            <v>1761656</v>
          </cell>
          <cell r="AI415">
            <v>2137785</v>
          </cell>
        </row>
        <row r="416">
          <cell r="I416">
            <v>4199923</v>
          </cell>
          <cell r="J416">
            <v>4870921</v>
          </cell>
          <cell r="K416">
            <v>5247048</v>
          </cell>
          <cell r="L416">
            <v>6900876</v>
          </cell>
          <cell r="M416">
            <v>6813692</v>
          </cell>
          <cell r="N416">
            <v>7629160</v>
          </cell>
          <cell r="O416">
            <v>6178716</v>
          </cell>
          <cell r="P416">
            <v>4667862</v>
          </cell>
          <cell r="Q416">
            <v>4119605</v>
          </cell>
          <cell r="R416">
            <v>4262784</v>
          </cell>
          <cell r="S416">
            <v>4898629</v>
          </cell>
          <cell r="T416">
            <v>4862936</v>
          </cell>
          <cell r="U416">
            <v>4806855</v>
          </cell>
          <cell r="V416">
            <v>4711081</v>
          </cell>
          <cell r="W416">
            <v>5734176</v>
          </cell>
          <cell r="X416">
            <v>6326943</v>
          </cell>
          <cell r="Y416">
            <v>7505156</v>
          </cell>
          <cell r="Z416">
            <v>6858817</v>
          </cell>
          <cell r="AA416">
            <v>6041777</v>
          </cell>
          <cell r="AB416">
            <v>4535222</v>
          </cell>
          <cell r="AC416">
            <v>4012992</v>
          </cell>
          <cell r="AD416">
            <v>4043266</v>
          </cell>
          <cell r="AE416">
            <v>4124695</v>
          </cell>
          <cell r="AF416">
            <v>3924357</v>
          </cell>
          <cell r="AG416">
            <v>3737194</v>
          </cell>
          <cell r="AI416">
            <v>4870921</v>
          </cell>
        </row>
        <row r="417">
          <cell r="I417">
            <v>1744895</v>
          </cell>
          <cell r="J417">
            <v>1887304</v>
          </cell>
          <cell r="K417">
            <v>2229430</v>
          </cell>
          <cell r="L417">
            <v>3081545</v>
          </cell>
          <cell r="M417">
            <v>3346284</v>
          </cell>
          <cell r="N417">
            <v>3612972</v>
          </cell>
          <cell r="O417">
            <v>2714441</v>
          </cell>
          <cell r="P417">
            <v>1917337</v>
          </cell>
          <cell r="Q417">
            <v>1631916</v>
          </cell>
          <cell r="R417">
            <v>1768168</v>
          </cell>
          <cell r="S417">
            <v>1727295</v>
          </cell>
          <cell r="T417">
            <v>1906620</v>
          </cell>
          <cell r="U417">
            <v>1687904</v>
          </cell>
          <cell r="V417">
            <v>1636924</v>
          </cell>
          <cell r="W417">
            <v>2431240</v>
          </cell>
          <cell r="X417">
            <v>2702667</v>
          </cell>
          <cell r="Y417">
            <v>3548832</v>
          </cell>
          <cell r="Z417">
            <v>3958917</v>
          </cell>
          <cell r="AA417">
            <v>2957266</v>
          </cell>
          <cell r="AB417">
            <v>1977617</v>
          </cell>
          <cell r="AC417">
            <v>1716402</v>
          </cell>
          <cell r="AD417">
            <v>1785641</v>
          </cell>
          <cell r="AE417">
            <v>1809426</v>
          </cell>
          <cell r="AF417">
            <v>1784461</v>
          </cell>
          <cell r="AG417">
            <v>1528983</v>
          </cell>
          <cell r="AI417">
            <v>1887304</v>
          </cell>
        </row>
        <row r="418">
          <cell r="I418">
            <v>8857451</v>
          </cell>
          <cell r="J418">
            <v>8318579</v>
          </cell>
          <cell r="K418">
            <v>9762838</v>
          </cell>
          <cell r="L418">
            <v>10032482</v>
          </cell>
          <cell r="M418">
            <v>10558397</v>
          </cell>
          <cell r="N418">
            <v>11530356</v>
          </cell>
          <cell r="O418">
            <v>9419787</v>
          </cell>
          <cell r="P418">
            <v>8063549</v>
          </cell>
          <cell r="Q418">
            <v>7589689</v>
          </cell>
          <cell r="R418">
            <v>8418752</v>
          </cell>
          <cell r="S418">
            <v>8089792</v>
          </cell>
          <cell r="T418">
            <v>8634438</v>
          </cell>
          <cell r="U418">
            <v>8144594</v>
          </cell>
          <cell r="V418">
            <v>7964265</v>
          </cell>
          <cell r="W418">
            <v>10057652</v>
          </cell>
          <cell r="X418">
            <v>10066736</v>
          </cell>
          <cell r="Y418">
            <v>11173307</v>
          </cell>
          <cell r="Z418">
            <v>12572420</v>
          </cell>
          <cell r="AA418">
            <v>10085476</v>
          </cell>
          <cell r="AB418">
            <v>8739582</v>
          </cell>
          <cell r="AC418">
            <v>8108216</v>
          </cell>
          <cell r="AD418">
            <v>8276491</v>
          </cell>
          <cell r="AE418">
            <v>8757840</v>
          </cell>
          <cell r="AF418">
            <v>8680330</v>
          </cell>
          <cell r="AG418">
            <v>8210361</v>
          </cell>
          <cell r="AI418">
            <v>8318579</v>
          </cell>
        </row>
        <row r="419">
          <cell r="I419">
            <v>2914015</v>
          </cell>
          <cell r="J419">
            <v>3132914</v>
          </cell>
          <cell r="K419">
            <v>4403061</v>
          </cell>
          <cell r="L419">
            <v>5703196</v>
          </cell>
          <cell r="M419">
            <v>6193527</v>
          </cell>
          <cell r="N419">
            <v>6325348</v>
          </cell>
          <cell r="O419">
            <v>5814233</v>
          </cell>
          <cell r="P419">
            <v>4208528</v>
          </cell>
          <cell r="Q419">
            <v>3785373</v>
          </cell>
          <cell r="R419">
            <v>4408701</v>
          </cell>
          <cell r="S419">
            <v>4132426</v>
          </cell>
          <cell r="T419">
            <v>4385856</v>
          </cell>
          <cell r="U419">
            <v>4011337</v>
          </cell>
          <cell r="V419">
            <v>3726035</v>
          </cell>
          <cell r="W419">
            <v>5048474</v>
          </cell>
          <cell r="X419">
            <v>5330156</v>
          </cell>
          <cell r="Y419">
            <v>6419970</v>
          </cell>
          <cell r="Z419">
            <v>7259277</v>
          </cell>
          <cell r="AA419">
            <v>6048539</v>
          </cell>
          <cell r="AB419">
            <v>4440577</v>
          </cell>
          <cell r="AC419">
            <v>4169056</v>
          </cell>
          <cell r="AD419">
            <v>4256482</v>
          </cell>
          <cell r="AE419">
            <v>4140035</v>
          </cell>
          <cell r="AF419">
            <v>4173946</v>
          </cell>
          <cell r="AG419">
            <v>4110462</v>
          </cell>
          <cell r="AI419">
            <v>3132914</v>
          </cell>
        </row>
        <row r="420">
          <cell r="I420">
            <v>1714415</v>
          </cell>
          <cell r="J420">
            <v>2318233</v>
          </cell>
          <cell r="K420">
            <v>2413004</v>
          </cell>
          <cell r="L420">
            <v>3087081</v>
          </cell>
          <cell r="M420">
            <v>3088402</v>
          </cell>
          <cell r="N420">
            <v>3537201</v>
          </cell>
          <cell r="O420">
            <v>3263895</v>
          </cell>
          <cell r="P420">
            <v>2294014</v>
          </cell>
          <cell r="Q420">
            <v>2115345</v>
          </cell>
          <cell r="R420">
            <v>2301411</v>
          </cell>
          <cell r="S420">
            <v>2435926</v>
          </cell>
          <cell r="T420">
            <v>2346109</v>
          </cell>
          <cell r="U420">
            <v>2484760</v>
          </cell>
          <cell r="V420">
            <v>1984911</v>
          </cell>
          <cell r="W420">
            <v>2700230</v>
          </cell>
          <cell r="X420">
            <v>2906213</v>
          </cell>
          <cell r="Y420">
            <v>3260487</v>
          </cell>
          <cell r="Z420">
            <v>4127441</v>
          </cell>
          <cell r="AA420">
            <v>2925641</v>
          </cell>
          <cell r="AB420">
            <v>2412314</v>
          </cell>
          <cell r="AC420">
            <v>2254699</v>
          </cell>
          <cell r="AD420">
            <v>2331174</v>
          </cell>
          <cell r="AE420">
            <v>2439938</v>
          </cell>
          <cell r="AF420">
            <v>2310178</v>
          </cell>
          <cell r="AG420">
            <v>2169526</v>
          </cell>
          <cell r="AI420">
            <v>2318233</v>
          </cell>
        </row>
        <row r="421">
          <cell r="I421">
            <v>2082567</v>
          </cell>
          <cell r="J421">
            <v>2193873</v>
          </cell>
          <cell r="K421">
            <v>2291184</v>
          </cell>
          <cell r="L421">
            <v>3161767</v>
          </cell>
          <cell r="M421">
            <v>3346584</v>
          </cell>
          <cell r="N421">
            <v>3867607</v>
          </cell>
          <cell r="O421">
            <v>3403203</v>
          </cell>
          <cell r="P421">
            <v>2150425</v>
          </cell>
          <cell r="Q421">
            <v>1950496</v>
          </cell>
          <cell r="R421">
            <v>2112918</v>
          </cell>
          <cell r="S421">
            <v>2023682</v>
          </cell>
          <cell r="T421">
            <v>2248553</v>
          </cell>
          <cell r="U421">
            <v>1936948</v>
          </cell>
          <cell r="V421">
            <v>2010147</v>
          </cell>
          <cell r="W421">
            <v>2341282</v>
          </cell>
          <cell r="X421">
            <v>2766867</v>
          </cell>
          <cell r="Y421">
            <v>3560489</v>
          </cell>
          <cell r="Z421">
            <v>3890061</v>
          </cell>
          <cell r="AA421">
            <v>3615703</v>
          </cell>
          <cell r="AB421">
            <v>2153983</v>
          </cell>
          <cell r="AC421">
            <v>1935485</v>
          </cell>
          <cell r="AD421">
            <v>2126639</v>
          </cell>
          <cell r="AE421">
            <v>2225839</v>
          </cell>
          <cell r="AF421">
            <v>2074486</v>
          </cell>
          <cell r="AG421">
            <v>1933879</v>
          </cell>
          <cell r="AI421">
            <v>2193873</v>
          </cell>
        </row>
        <row r="422">
          <cell r="I422">
            <v>3006392</v>
          </cell>
          <cell r="J422">
            <v>2780787</v>
          </cell>
          <cell r="K422">
            <v>2857036</v>
          </cell>
          <cell r="L422">
            <v>3860835</v>
          </cell>
          <cell r="M422">
            <v>3787227</v>
          </cell>
          <cell r="N422">
            <v>4102827</v>
          </cell>
          <cell r="O422">
            <v>4310199</v>
          </cell>
          <cell r="P422">
            <v>2772926</v>
          </cell>
          <cell r="Q422">
            <v>2577462</v>
          </cell>
          <cell r="R422">
            <v>2824531</v>
          </cell>
          <cell r="S422">
            <v>2748144</v>
          </cell>
          <cell r="T422">
            <v>3239392</v>
          </cell>
          <cell r="U422">
            <v>2639752</v>
          </cell>
          <cell r="V422">
            <v>2584957</v>
          </cell>
          <cell r="W422">
            <v>3048499</v>
          </cell>
          <cell r="X422">
            <v>3315854</v>
          </cell>
          <cell r="Y422">
            <v>4029525</v>
          </cell>
          <cell r="Z422">
            <v>4471270</v>
          </cell>
          <cell r="AA422">
            <v>4748679</v>
          </cell>
          <cell r="AB422">
            <v>2447893</v>
          </cell>
          <cell r="AC422">
            <v>2712834</v>
          </cell>
          <cell r="AD422">
            <v>2737698</v>
          </cell>
          <cell r="AE422">
            <v>2864279</v>
          </cell>
          <cell r="AF422">
            <v>2960923</v>
          </cell>
          <cell r="AG422">
            <v>2504584</v>
          </cell>
          <cell r="AI422">
            <v>2780787</v>
          </cell>
        </row>
        <row r="423">
          <cell r="I423">
            <v>4077814</v>
          </cell>
          <cell r="J423">
            <v>4273127</v>
          </cell>
          <cell r="K423">
            <v>4294405</v>
          </cell>
          <cell r="L423">
            <v>5988288</v>
          </cell>
          <cell r="M423">
            <v>5889480</v>
          </cell>
          <cell r="N423">
            <v>6942866</v>
          </cell>
          <cell r="O423">
            <v>5490341</v>
          </cell>
          <cell r="P423">
            <v>4640046</v>
          </cell>
          <cell r="Q423">
            <v>4018496</v>
          </cell>
          <cell r="R423">
            <v>4028075</v>
          </cell>
          <cell r="S423">
            <v>4379894</v>
          </cell>
          <cell r="T423">
            <v>4042086</v>
          </cell>
          <cell r="U423">
            <v>4294915</v>
          </cell>
          <cell r="V423">
            <v>4185100</v>
          </cell>
          <cell r="W423">
            <v>5046104</v>
          </cell>
          <cell r="X423">
            <v>5392303</v>
          </cell>
          <cell r="Y423">
            <v>6206147</v>
          </cell>
          <cell r="Z423">
            <v>7903046</v>
          </cell>
          <cell r="AA423">
            <v>5446361</v>
          </cell>
          <cell r="AB423">
            <v>4872727</v>
          </cell>
          <cell r="AC423">
            <v>4380498</v>
          </cell>
          <cell r="AD423">
            <v>3975962</v>
          </cell>
          <cell r="AE423">
            <v>4230718</v>
          </cell>
          <cell r="AF423">
            <v>4286122</v>
          </cell>
          <cell r="AG423">
            <v>4148444</v>
          </cell>
          <cell r="AI423">
            <v>4273127</v>
          </cell>
        </row>
        <row r="424">
          <cell r="I424">
            <v>2025275</v>
          </cell>
          <cell r="J424">
            <v>2066549</v>
          </cell>
          <cell r="K424">
            <v>2141385</v>
          </cell>
          <cell r="L424">
            <v>3677489</v>
          </cell>
          <cell r="M424">
            <v>3678706</v>
          </cell>
          <cell r="N424">
            <v>4313497</v>
          </cell>
          <cell r="O424">
            <v>3901037</v>
          </cell>
          <cell r="P424">
            <v>2588763</v>
          </cell>
          <cell r="Q424">
            <v>1844991</v>
          </cell>
          <cell r="R424">
            <v>1999375</v>
          </cell>
          <cell r="S424">
            <v>2229782</v>
          </cell>
          <cell r="T424">
            <v>2152630</v>
          </cell>
          <cell r="U424">
            <v>2128335</v>
          </cell>
          <cell r="V424">
            <v>2068198</v>
          </cell>
          <cell r="W424">
            <v>2474405</v>
          </cell>
          <cell r="X424">
            <v>2906299</v>
          </cell>
          <cell r="Y424">
            <v>4056282</v>
          </cell>
          <cell r="Z424">
            <v>4864901</v>
          </cell>
          <cell r="AA424">
            <v>4149241</v>
          </cell>
          <cell r="AB424">
            <v>2562925</v>
          </cell>
          <cell r="AC424">
            <v>2094385</v>
          </cell>
          <cell r="AD424">
            <v>1985142</v>
          </cell>
          <cell r="AE424">
            <v>2240077</v>
          </cell>
          <cell r="AF424">
            <v>2169987</v>
          </cell>
          <cell r="AG424">
            <v>1954367</v>
          </cell>
          <cell r="AI424">
            <v>2066549</v>
          </cell>
        </row>
        <row r="425">
          <cell r="I425">
            <v>8605053</v>
          </cell>
          <cell r="J425">
            <v>6881615</v>
          </cell>
          <cell r="K425">
            <v>5533696</v>
          </cell>
          <cell r="L425">
            <v>8600756</v>
          </cell>
          <cell r="M425">
            <v>8605429</v>
          </cell>
          <cell r="N425">
            <v>8729896</v>
          </cell>
          <cell r="O425">
            <v>9312413</v>
          </cell>
          <cell r="P425">
            <v>7055686</v>
          </cell>
          <cell r="Q425">
            <v>5724378</v>
          </cell>
          <cell r="R425">
            <v>5515764</v>
          </cell>
          <cell r="S425">
            <v>5811699</v>
          </cell>
          <cell r="T425">
            <v>5691965</v>
          </cell>
          <cell r="U425">
            <v>5390564</v>
          </cell>
          <cell r="V425">
            <v>5388725</v>
          </cell>
          <cell r="W425">
            <v>6031653</v>
          </cell>
          <cell r="X425">
            <v>7049902</v>
          </cell>
          <cell r="Y425">
            <v>8444669</v>
          </cell>
          <cell r="Z425">
            <v>9164621</v>
          </cell>
          <cell r="AA425">
            <v>9249999</v>
          </cell>
          <cell r="AB425">
            <v>6254323</v>
          </cell>
          <cell r="AC425">
            <v>5710659</v>
          </cell>
          <cell r="AD425">
            <v>5390150</v>
          </cell>
          <cell r="AE425">
            <v>5685470</v>
          </cell>
          <cell r="AF425">
            <v>5662314</v>
          </cell>
          <cell r="AG425">
            <v>4142890</v>
          </cell>
          <cell r="AI425">
            <v>6881615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"/>
      <sheetName val="Oth"/>
      <sheetName val="Tot"/>
      <sheetName val="Pd"/>
      <sheetName val="408"/>
      <sheetName val="Intco"/>
      <sheetName val="Rp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Sheet1"/>
      <sheetName val="Sheet2"/>
      <sheetName val="Sheet3"/>
      <sheetName val="Rpt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"/>
      <sheetName val="Exhibit 2"/>
      <sheetName val="BellarExhibits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comes"/>
      <sheetName val="LGE Electric"/>
      <sheetName val="LGE Gas"/>
      <sheetName val="Cap"/>
      <sheetName val="Ex 1"/>
      <sheetName val="Ex 2"/>
      <sheetName val="Ex 3"/>
      <sheetName val="Ex 4"/>
      <sheetName val="A"/>
      <sheetName val="B"/>
      <sheetName val="C"/>
      <sheetName val="D"/>
      <sheetName val="E"/>
      <sheetName val="G"/>
      <sheetName val="F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AA"/>
      <sheetName val="AB"/>
      <sheetName val="AC"/>
      <sheetName val="AD"/>
      <sheetName val="AE"/>
      <sheetName val="AF"/>
      <sheetName val="AG"/>
      <sheetName val="AH"/>
      <sheetName val="AI"/>
      <sheetName val="AW"/>
      <sheetName val="Gross up Factor"/>
      <sheetName val="not used Ex 4"/>
      <sheetName val="not used Ex 5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11">
          <cell r="K11">
            <v>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FQ1491"/>
  <sheetViews>
    <sheetView view="pageBreakPreview" zoomScale="90" zoomScaleNormal="100" zoomScaleSheetLayoutView="90" workbookViewId="0">
      <pane ySplit="22" topLeftCell="A23" activePane="bottomLeft" state="frozen"/>
      <selection pane="bottomLeft" activeCell="B1" sqref="B1"/>
    </sheetView>
  </sheetViews>
  <sheetFormatPr defaultRowHeight="11.25" x14ac:dyDescent="0.2"/>
  <cols>
    <col min="1" max="1" width="3.5703125" style="32" customWidth="1"/>
    <col min="2" max="2" width="45.7109375" style="32" bestFit="1" customWidth="1"/>
    <col min="3" max="3" width="13.85546875" style="32" bestFit="1" customWidth="1"/>
    <col min="4" max="4" width="13.42578125" style="33" bestFit="1" customWidth="1"/>
    <col min="5" max="5" width="3.5703125" style="32" customWidth="1"/>
    <col min="6" max="6" width="20.7109375" style="32" customWidth="1"/>
    <col min="7" max="7" width="1.140625" style="32" customWidth="1"/>
    <col min="8" max="9" width="13.5703125" style="33" bestFit="1" customWidth="1"/>
    <col min="10" max="10" width="1" style="33" customWidth="1"/>
    <col min="11" max="11" width="0.85546875" style="33" customWidth="1"/>
    <col min="12" max="12" width="13.5703125" style="33" bestFit="1" customWidth="1"/>
    <col min="13" max="13" width="1.140625" style="33" customWidth="1"/>
    <col min="14" max="14" width="13.5703125" style="33" bestFit="1" customWidth="1"/>
    <col min="15" max="15" width="12.28515625" style="33" bestFit="1" customWidth="1"/>
    <col min="16" max="16" width="14.7109375" style="33" bestFit="1" customWidth="1"/>
    <col min="17" max="17" width="12.85546875" style="33" bestFit="1" customWidth="1"/>
    <col min="18" max="19" width="1.28515625" style="32" customWidth="1"/>
    <col min="20" max="20" width="18.5703125" style="33" customWidth="1"/>
    <col min="21" max="21" width="11.7109375" style="32" bestFit="1" customWidth="1"/>
    <col min="22" max="22" width="17.42578125" style="32" customWidth="1"/>
    <col min="23" max="23" width="13.5703125" style="32" customWidth="1"/>
    <col min="24" max="24" width="15.42578125" style="32" bestFit="1" customWidth="1"/>
    <col min="25" max="25" width="19.42578125" style="32" bestFit="1" customWidth="1"/>
    <col min="26" max="26" width="31.42578125" style="32" bestFit="1" customWidth="1"/>
    <col min="27" max="27" width="11.7109375" style="32" bestFit="1" customWidth="1"/>
    <col min="28" max="28" width="4.7109375" style="32" bestFit="1" customWidth="1"/>
    <col min="29" max="29" width="14.28515625" style="32" bestFit="1" customWidth="1"/>
    <col min="30" max="30" width="6.28515625" style="32" bestFit="1" customWidth="1"/>
    <col min="31" max="31" width="38.28515625" style="32" bestFit="1" customWidth="1"/>
    <col min="32" max="32" width="18" style="32" bestFit="1" customWidth="1"/>
    <col min="33" max="42" width="9.140625" style="32"/>
    <col min="43" max="43" width="6.42578125" style="32" bestFit="1" customWidth="1"/>
    <col min="44" max="44" width="41.42578125" style="32" bestFit="1" customWidth="1"/>
    <col min="45" max="45" width="18" style="32" bestFit="1" customWidth="1"/>
    <col min="46" max="58" width="9.140625" style="32"/>
    <col min="59" max="59" width="6.42578125" style="32" bestFit="1" customWidth="1"/>
    <col min="60" max="60" width="41.42578125" style="32" bestFit="1" customWidth="1"/>
    <col min="61" max="61" width="18" style="32" bestFit="1" customWidth="1"/>
    <col min="62" max="66" width="9.140625" style="32"/>
    <col min="67" max="67" width="6.42578125" style="32" bestFit="1" customWidth="1"/>
    <col min="68" max="68" width="41.140625" style="32" bestFit="1" customWidth="1"/>
    <col min="69" max="69" width="18" style="32" bestFit="1" customWidth="1"/>
    <col min="70" max="74" width="9.140625" style="32"/>
    <col min="75" max="75" width="6.28515625" style="32" bestFit="1" customWidth="1"/>
    <col min="76" max="76" width="41.28515625" style="32" bestFit="1" customWidth="1"/>
    <col min="77" max="77" width="18" style="32" bestFit="1" customWidth="1"/>
    <col min="78" max="82" width="9.140625" style="32"/>
    <col min="83" max="83" width="6.42578125" style="32" bestFit="1" customWidth="1"/>
    <col min="84" max="84" width="40.85546875" style="32" bestFit="1" customWidth="1"/>
    <col min="85" max="85" width="18" style="32" bestFit="1" customWidth="1"/>
    <col min="86" max="90" width="9.140625" style="32"/>
    <col min="91" max="91" width="6.28515625" style="32" bestFit="1" customWidth="1"/>
    <col min="92" max="92" width="41.28515625" style="32" bestFit="1" customWidth="1"/>
    <col min="93" max="93" width="18" style="32" bestFit="1" customWidth="1"/>
    <col min="94" max="98" width="9.140625" style="32"/>
    <col min="99" max="99" width="6.42578125" style="32" bestFit="1" customWidth="1"/>
    <col min="100" max="100" width="41.140625" style="32" bestFit="1" customWidth="1"/>
    <col min="101" max="101" width="18" style="32" bestFit="1" customWidth="1"/>
    <col min="102" max="112" width="9.140625" style="32"/>
    <col min="113" max="113" width="6.42578125" style="32" bestFit="1" customWidth="1"/>
    <col min="114" max="114" width="38" style="32" bestFit="1" customWidth="1"/>
    <col min="115" max="115" width="18" style="32" bestFit="1" customWidth="1"/>
    <col min="116" max="126" width="9.140625" style="32"/>
    <col min="127" max="127" width="4.140625" style="32" bestFit="1" customWidth="1"/>
    <col min="128" max="128" width="47.85546875" style="32" bestFit="1" customWidth="1"/>
    <col min="129" max="134" width="9.140625" style="32"/>
    <col min="135" max="135" width="6.85546875" style="32" bestFit="1" customWidth="1"/>
    <col min="136" max="136" width="28.7109375" style="32" bestFit="1" customWidth="1"/>
    <col min="137" max="137" width="53.7109375" style="32" bestFit="1" customWidth="1"/>
    <col min="138" max="142" width="9.140625" style="32"/>
    <col min="143" max="143" width="7.7109375" style="32" bestFit="1" customWidth="1"/>
    <col min="144" max="144" width="56.140625" style="32" bestFit="1" customWidth="1"/>
    <col min="145" max="145" width="60.7109375" style="32" bestFit="1" customWidth="1"/>
    <col min="146" max="153" width="9.140625" style="32"/>
    <col min="154" max="154" width="37.7109375" style="32" bestFit="1" customWidth="1"/>
    <col min="155" max="158" width="9.140625" style="32"/>
    <col min="159" max="159" width="4.85546875" style="32" bestFit="1" customWidth="1"/>
    <col min="160" max="160" width="93.7109375" style="32" bestFit="1" customWidth="1"/>
    <col min="161" max="166" width="9.140625" style="32"/>
    <col min="167" max="167" width="6.85546875" style="32" bestFit="1" customWidth="1"/>
    <col min="168" max="168" width="7" style="32" bestFit="1" customWidth="1"/>
    <col min="169" max="171" width="9.140625" style="32"/>
    <col min="172" max="172" width="2.85546875" style="32" bestFit="1" customWidth="1"/>
    <col min="173" max="173" width="116.28515625" style="32" bestFit="1" customWidth="1"/>
    <col min="174" max="16384" width="9.140625" style="32"/>
  </cols>
  <sheetData>
    <row r="1" spans="1:173" x14ac:dyDescent="0.2">
      <c r="J1" s="33" t="s">
        <v>304</v>
      </c>
      <c r="K1" s="33" t="s">
        <v>2223</v>
      </c>
      <c r="AD1" s="32" t="s">
        <v>305</v>
      </c>
      <c r="AE1" s="32" t="s">
        <v>306</v>
      </c>
      <c r="AQ1" s="32" t="s">
        <v>307</v>
      </c>
      <c r="AR1" s="32" t="s">
        <v>308</v>
      </c>
      <c r="BG1" s="32" t="s">
        <v>309</v>
      </c>
      <c r="BH1" s="32" t="s">
        <v>2041</v>
      </c>
      <c r="BO1" s="32" t="s">
        <v>2042</v>
      </c>
      <c r="BP1" s="32" t="s">
        <v>2043</v>
      </c>
      <c r="BW1" s="32" t="s">
        <v>2044</v>
      </c>
      <c r="BX1" s="32" t="s">
        <v>2045</v>
      </c>
      <c r="CE1" s="32" t="s">
        <v>2046</v>
      </c>
      <c r="CF1" s="32" t="s">
        <v>2047</v>
      </c>
      <c r="CM1" s="32" t="s">
        <v>2048</v>
      </c>
      <c r="CN1" s="32" t="s">
        <v>2049</v>
      </c>
      <c r="CU1" s="32" t="s">
        <v>2050</v>
      </c>
      <c r="CV1" s="32" t="s">
        <v>2051</v>
      </c>
      <c r="DI1" s="32" t="s">
        <v>2052</v>
      </c>
      <c r="DJ1" s="32" t="s">
        <v>2053</v>
      </c>
      <c r="DW1" s="32" t="s">
        <v>2054</v>
      </c>
      <c r="DX1" s="32" t="s">
        <v>2055</v>
      </c>
      <c r="EE1" s="32" t="s">
        <v>2056</v>
      </c>
      <c r="EF1" s="32" t="s">
        <v>2057</v>
      </c>
      <c r="EM1" s="32" t="s">
        <v>2058</v>
      </c>
      <c r="EN1" s="32" t="s">
        <v>2059</v>
      </c>
      <c r="FC1" s="32" t="s">
        <v>2060</v>
      </c>
      <c r="FD1" s="32" t="e">
        <v>#REF!</v>
      </c>
      <c r="FK1" s="32" t="s">
        <v>2061</v>
      </c>
      <c r="FL1" s="32" t="s">
        <v>2062</v>
      </c>
      <c r="FP1" s="32" t="s">
        <v>2063</v>
      </c>
      <c r="FQ1" s="32" t="s">
        <v>2064</v>
      </c>
    </row>
    <row r="2" spans="1:173" x14ac:dyDescent="0.2">
      <c r="A2" s="32" t="s">
        <v>330</v>
      </c>
      <c r="G2" s="32" t="s">
        <v>331</v>
      </c>
      <c r="AE2" s="32" t="s">
        <v>332</v>
      </c>
      <c r="AR2" s="32" t="s">
        <v>332</v>
      </c>
      <c r="BH2" s="32" t="s">
        <v>332</v>
      </c>
      <c r="BP2" s="32" t="s">
        <v>332</v>
      </c>
      <c r="BX2" s="32" t="s">
        <v>332</v>
      </c>
      <c r="CF2" s="32" t="s">
        <v>332</v>
      </c>
      <c r="CN2" s="32" t="s">
        <v>332</v>
      </c>
      <c r="CV2" s="32" t="s">
        <v>332</v>
      </c>
      <c r="DJ2" s="32" t="s">
        <v>332</v>
      </c>
      <c r="DX2" s="32" t="s">
        <v>333</v>
      </c>
      <c r="EF2" s="32" t="s">
        <v>334</v>
      </c>
      <c r="EN2" s="32" t="s">
        <v>335</v>
      </c>
      <c r="FC2" s="32" t="s">
        <v>336</v>
      </c>
      <c r="FD2" s="32">
        <v>749</v>
      </c>
      <c r="FK2" s="32" t="s">
        <v>337</v>
      </c>
      <c r="FL2" s="32" t="s">
        <v>338</v>
      </c>
      <c r="FQ2" s="32" t="s">
        <v>339</v>
      </c>
    </row>
    <row r="3" spans="1:173" x14ac:dyDescent="0.2">
      <c r="B3" s="32" t="s">
        <v>1066</v>
      </c>
      <c r="G3" s="32" t="s">
        <v>1067</v>
      </c>
      <c r="J3" s="33" t="s">
        <v>1068</v>
      </c>
      <c r="K3" s="33" t="s">
        <v>2224</v>
      </c>
      <c r="AE3" s="32" t="s">
        <v>1069</v>
      </c>
      <c r="AR3" s="32" t="s">
        <v>1069</v>
      </c>
      <c r="BH3" s="32" t="s">
        <v>1069</v>
      </c>
      <c r="BP3" s="32" t="s">
        <v>1069</v>
      </c>
      <c r="BX3" s="32" t="s">
        <v>1069</v>
      </c>
      <c r="CF3" s="32" t="s">
        <v>1069</v>
      </c>
      <c r="CN3" s="32" t="s">
        <v>1069</v>
      </c>
      <c r="CV3" s="32" t="s">
        <v>1069</v>
      </c>
      <c r="DJ3" s="32" t="s">
        <v>1069</v>
      </c>
      <c r="DW3" s="32">
        <v>4</v>
      </c>
      <c r="DX3" s="32" t="s">
        <v>1070</v>
      </c>
      <c r="EE3" s="32" t="s">
        <v>1071</v>
      </c>
      <c r="EF3" s="32" t="s">
        <v>1072</v>
      </c>
      <c r="EN3" s="32" t="s">
        <v>1073</v>
      </c>
      <c r="EO3" s="32" t="s">
        <v>1074</v>
      </c>
      <c r="EX3" s="32" t="s">
        <v>1075</v>
      </c>
      <c r="FC3" s="32" t="s">
        <v>1076</v>
      </c>
      <c r="FD3" s="32" t="b">
        <v>0</v>
      </c>
      <c r="FK3" s="32" t="s">
        <v>1077</v>
      </c>
      <c r="FL3" s="32" t="s">
        <v>1078</v>
      </c>
      <c r="FQ3" s="32" t="s">
        <v>1079</v>
      </c>
    </row>
    <row r="4" spans="1:173" x14ac:dyDescent="0.2">
      <c r="A4" s="32" t="s">
        <v>1080</v>
      </c>
      <c r="AE4" s="32" t="s">
        <v>1081</v>
      </c>
      <c r="AR4" s="32" t="s">
        <v>1081</v>
      </c>
      <c r="BH4" s="32" t="s">
        <v>1081</v>
      </c>
      <c r="BP4" s="32" t="s">
        <v>1081</v>
      </c>
      <c r="BX4" s="32" t="s">
        <v>1081</v>
      </c>
      <c r="CF4" s="32" t="s">
        <v>1081</v>
      </c>
      <c r="CN4" s="32" t="s">
        <v>1081</v>
      </c>
      <c r="CV4" s="32" t="s">
        <v>1081</v>
      </c>
      <c r="DJ4" s="32" t="s">
        <v>1081</v>
      </c>
      <c r="DW4" s="32">
        <v>1</v>
      </c>
      <c r="DX4" s="32" t="s">
        <v>1082</v>
      </c>
      <c r="EF4" s="32" t="s">
        <v>1083</v>
      </c>
      <c r="EN4" s="32" t="s">
        <v>1000</v>
      </c>
      <c r="EO4" s="32" t="s">
        <v>1001</v>
      </c>
      <c r="EX4" s="32" t="s">
        <v>1002</v>
      </c>
      <c r="FC4" s="32" t="s">
        <v>1003</v>
      </c>
      <c r="FD4" s="32" t="b">
        <v>0</v>
      </c>
      <c r="FK4" s="32" t="s">
        <v>1004</v>
      </c>
      <c r="FL4" s="32" t="s">
        <v>1005</v>
      </c>
      <c r="FQ4" s="32" t="s">
        <v>1006</v>
      </c>
    </row>
    <row r="5" spans="1:173" x14ac:dyDescent="0.2">
      <c r="B5" s="32" t="s">
        <v>473</v>
      </c>
      <c r="J5" s="33" t="s">
        <v>474</v>
      </c>
      <c r="K5" s="33" t="s">
        <v>2225</v>
      </c>
      <c r="AE5" s="32" t="s">
        <v>475</v>
      </c>
      <c r="AR5" s="32" t="s">
        <v>476</v>
      </c>
      <c r="BH5" s="32" t="s">
        <v>477</v>
      </c>
      <c r="BP5" s="32" t="s">
        <v>478</v>
      </c>
      <c r="BX5" s="32" t="s">
        <v>479</v>
      </c>
      <c r="CF5" s="32" t="s">
        <v>480</v>
      </c>
      <c r="CN5" s="32" t="s">
        <v>481</v>
      </c>
      <c r="CV5" s="32" t="s">
        <v>970</v>
      </c>
      <c r="DJ5" s="32" t="s">
        <v>971</v>
      </c>
      <c r="DX5" s="32" t="s">
        <v>972</v>
      </c>
      <c r="EF5" s="32" t="s">
        <v>1073</v>
      </c>
      <c r="EG5" s="32" t="s">
        <v>1074</v>
      </c>
      <c r="EN5" s="32" t="s">
        <v>973</v>
      </c>
      <c r="EO5" s="32" t="s">
        <v>974</v>
      </c>
      <c r="FC5" s="32" t="s">
        <v>975</v>
      </c>
      <c r="FD5" s="32" t="s">
        <v>976</v>
      </c>
      <c r="FK5" s="32" t="s">
        <v>977</v>
      </c>
      <c r="FL5" s="32" t="s">
        <v>978</v>
      </c>
      <c r="FQ5" s="32" t="s">
        <v>979</v>
      </c>
    </row>
    <row r="6" spans="1:173" x14ac:dyDescent="0.2">
      <c r="B6" s="118" t="s">
        <v>2682</v>
      </c>
      <c r="AE6" s="32" t="s">
        <v>980</v>
      </c>
      <c r="AR6" s="32" t="s">
        <v>981</v>
      </c>
      <c r="BH6" s="32" t="s">
        <v>982</v>
      </c>
      <c r="BP6" s="32" t="s">
        <v>983</v>
      </c>
      <c r="BX6" s="32" t="s">
        <v>984</v>
      </c>
      <c r="CF6" s="32" t="s">
        <v>985</v>
      </c>
      <c r="CN6" s="32" t="s">
        <v>986</v>
      </c>
      <c r="CV6" s="32" t="s">
        <v>987</v>
      </c>
      <c r="DJ6" s="32" t="s">
        <v>988</v>
      </c>
      <c r="DX6" s="32" t="s">
        <v>989</v>
      </c>
      <c r="EF6" s="32" t="s">
        <v>990</v>
      </c>
      <c r="EG6" s="32" t="s">
        <v>991</v>
      </c>
      <c r="EM6" s="32" t="s">
        <v>992</v>
      </c>
      <c r="EN6" s="32" t="s">
        <v>993</v>
      </c>
      <c r="EO6" s="32" t="s">
        <v>994</v>
      </c>
      <c r="EX6" s="32" t="s">
        <v>995</v>
      </c>
      <c r="FC6" s="32" t="s">
        <v>996</v>
      </c>
      <c r="FD6" s="32">
        <v>46</v>
      </c>
      <c r="FK6" s="32" t="s">
        <v>997</v>
      </c>
      <c r="FL6" s="32" t="s">
        <v>998</v>
      </c>
      <c r="FQ6" s="32" t="e">
        <v>#REF!</v>
      </c>
    </row>
    <row r="7" spans="1:173" x14ac:dyDescent="0.2">
      <c r="J7" s="33" t="s">
        <v>999</v>
      </c>
      <c r="K7" s="33" t="s">
        <v>2226</v>
      </c>
      <c r="AE7" s="32" t="s">
        <v>1511</v>
      </c>
      <c r="AF7" s="32" t="s">
        <v>1512</v>
      </c>
      <c r="AR7" s="32" t="s">
        <v>1511</v>
      </c>
      <c r="AS7" s="32" t="s">
        <v>1512</v>
      </c>
      <c r="BH7" s="32" t="s">
        <v>1511</v>
      </c>
      <c r="BI7" s="32" t="s">
        <v>1512</v>
      </c>
      <c r="BP7" s="32" t="s">
        <v>1511</v>
      </c>
      <c r="BQ7" s="32" t="s">
        <v>1512</v>
      </c>
      <c r="BX7" s="32" t="s">
        <v>1511</v>
      </c>
      <c r="BY7" s="32" t="s">
        <v>1512</v>
      </c>
      <c r="CF7" s="32" t="s">
        <v>1511</v>
      </c>
      <c r="CG7" s="32" t="s">
        <v>1512</v>
      </c>
      <c r="CN7" s="32" t="s">
        <v>1511</v>
      </c>
      <c r="CO7" s="32" t="s">
        <v>1512</v>
      </c>
      <c r="CV7" s="32" t="s">
        <v>1511</v>
      </c>
      <c r="CW7" s="32" t="s">
        <v>1512</v>
      </c>
      <c r="DJ7" s="32" t="s">
        <v>1511</v>
      </c>
      <c r="DK7" s="32" t="s">
        <v>1512</v>
      </c>
      <c r="DX7" s="32" t="s">
        <v>1568</v>
      </c>
      <c r="EF7" s="32" t="s">
        <v>1569</v>
      </c>
      <c r="EG7" s="32" t="s">
        <v>1570</v>
      </c>
      <c r="EN7" s="32" t="s">
        <v>1571</v>
      </c>
      <c r="EX7" s="32" t="s">
        <v>1572</v>
      </c>
      <c r="FC7" s="32" t="s">
        <v>1573</v>
      </c>
      <c r="FD7" s="32" t="s">
        <v>1070</v>
      </c>
      <c r="FK7" s="32" t="s">
        <v>1574</v>
      </c>
      <c r="FL7" s="32" t="s">
        <v>304</v>
      </c>
      <c r="FQ7" s="32" t="s">
        <v>1070</v>
      </c>
    </row>
    <row r="8" spans="1:173" x14ac:dyDescent="0.2">
      <c r="AE8" s="32" t="s">
        <v>1575</v>
      </c>
      <c r="AF8" s="32" t="s">
        <v>1576</v>
      </c>
      <c r="AR8" s="32" t="s">
        <v>1575</v>
      </c>
      <c r="AS8" s="32" t="s">
        <v>1576</v>
      </c>
      <c r="BH8" s="32" t="s">
        <v>1575</v>
      </c>
      <c r="BI8" s="32" t="s">
        <v>1576</v>
      </c>
      <c r="BP8" s="32" t="s">
        <v>1575</v>
      </c>
      <c r="BQ8" s="32" t="s">
        <v>1576</v>
      </c>
      <c r="BX8" s="32" t="s">
        <v>1575</v>
      </c>
      <c r="BY8" s="32" t="s">
        <v>1576</v>
      </c>
      <c r="CF8" s="32" t="s">
        <v>1575</v>
      </c>
      <c r="CG8" s="32" t="s">
        <v>1576</v>
      </c>
      <c r="CN8" s="32" t="s">
        <v>1575</v>
      </c>
      <c r="CO8" s="32" t="s">
        <v>1576</v>
      </c>
      <c r="CV8" s="32" t="s">
        <v>1575</v>
      </c>
      <c r="CW8" s="32" t="s">
        <v>1576</v>
      </c>
      <c r="DJ8" s="32" t="s">
        <v>1575</v>
      </c>
      <c r="DK8" s="32" t="s">
        <v>1576</v>
      </c>
      <c r="DX8" s="32" t="s">
        <v>1577</v>
      </c>
      <c r="EE8" s="32" t="s">
        <v>1578</v>
      </c>
      <c r="EF8" s="32" t="s">
        <v>1579</v>
      </c>
      <c r="EG8" s="32" t="s">
        <v>1580</v>
      </c>
      <c r="EM8" s="32" t="s">
        <v>1581</v>
      </c>
      <c r="EN8" s="32" t="s">
        <v>1582</v>
      </c>
      <c r="FC8" s="32" t="s">
        <v>1583</v>
      </c>
      <c r="FD8" s="32">
        <v>5</v>
      </c>
      <c r="FK8" s="32" t="s">
        <v>1584</v>
      </c>
      <c r="FL8" s="32" t="s">
        <v>1068</v>
      </c>
      <c r="FQ8" s="32" t="s">
        <v>1585</v>
      </c>
    </row>
    <row r="9" spans="1:173" x14ac:dyDescent="0.2">
      <c r="J9" s="33" t="s">
        <v>1586</v>
      </c>
      <c r="K9" s="33" t="s">
        <v>397</v>
      </c>
      <c r="AE9" s="32" t="s">
        <v>1587</v>
      </c>
      <c r="AF9" s="32" t="s">
        <v>1588</v>
      </c>
      <c r="AR9" s="32" t="s">
        <v>1589</v>
      </c>
      <c r="AS9" s="32" t="s">
        <v>1590</v>
      </c>
      <c r="BH9" s="32" t="s">
        <v>1591</v>
      </c>
      <c r="BI9" s="32" t="s">
        <v>1592</v>
      </c>
      <c r="BP9" s="32" t="s">
        <v>1593</v>
      </c>
      <c r="BQ9" s="32" t="s">
        <v>1594</v>
      </c>
      <c r="BX9" s="32" t="s">
        <v>1595</v>
      </c>
      <c r="BY9" s="32" t="s">
        <v>1596</v>
      </c>
      <c r="CF9" s="32" t="s">
        <v>1597</v>
      </c>
      <c r="CG9" s="32" t="s">
        <v>1598</v>
      </c>
      <c r="CN9" s="32" t="s">
        <v>1599</v>
      </c>
      <c r="CO9" s="32" t="s">
        <v>1600</v>
      </c>
      <c r="CV9" s="32" t="s">
        <v>1601</v>
      </c>
      <c r="CW9" s="32" t="s">
        <v>1602</v>
      </c>
      <c r="DJ9" s="32" t="s">
        <v>1603</v>
      </c>
      <c r="DK9" s="32" t="s">
        <v>1604</v>
      </c>
      <c r="DX9" s="32" t="s">
        <v>1605</v>
      </c>
      <c r="EF9" s="32" t="s">
        <v>1606</v>
      </c>
      <c r="EN9" s="32" t="s">
        <v>1607</v>
      </c>
      <c r="FK9" s="32" t="s">
        <v>1608</v>
      </c>
      <c r="FL9" s="32" t="s">
        <v>474</v>
      </c>
      <c r="FQ9" s="32" t="s">
        <v>1609</v>
      </c>
    </row>
    <row r="10" spans="1:173" x14ac:dyDescent="0.2">
      <c r="AD10" s="32" t="s">
        <v>1610</v>
      </c>
      <c r="AE10" s="32" t="s">
        <v>1611</v>
      </c>
      <c r="AQ10" s="32" t="s">
        <v>1612</v>
      </c>
      <c r="AR10" s="32" t="s">
        <v>1611</v>
      </c>
      <c r="BG10" s="32" t="s">
        <v>1613</v>
      </c>
      <c r="BH10" s="32" t="s">
        <v>1611</v>
      </c>
      <c r="BO10" s="32" t="s">
        <v>1614</v>
      </c>
      <c r="BP10" s="32" t="s">
        <v>1611</v>
      </c>
      <c r="BW10" s="32" t="s">
        <v>1615</v>
      </c>
      <c r="BX10" s="32" t="s">
        <v>1611</v>
      </c>
      <c r="CE10" s="32" t="s">
        <v>1616</v>
      </c>
      <c r="CF10" s="32" t="s">
        <v>1611</v>
      </c>
      <c r="CM10" s="32" t="s">
        <v>1617</v>
      </c>
      <c r="CN10" s="32" t="s">
        <v>1611</v>
      </c>
      <c r="CU10" s="32" t="s">
        <v>1618</v>
      </c>
      <c r="CV10" s="32" t="s">
        <v>1611</v>
      </c>
      <c r="DI10" s="32" t="s">
        <v>1619</v>
      </c>
      <c r="DJ10" s="32" t="s">
        <v>1611</v>
      </c>
      <c r="DX10" s="32" t="s">
        <v>1620</v>
      </c>
      <c r="EE10" s="32" t="s">
        <v>1621</v>
      </c>
      <c r="EF10" s="32" t="s">
        <v>1622</v>
      </c>
      <c r="EG10" s="32" t="s">
        <v>1070</v>
      </c>
      <c r="EN10" s="32" t="s">
        <v>1623</v>
      </c>
      <c r="FK10" s="32" t="s">
        <v>1624</v>
      </c>
      <c r="FL10" s="32" t="s">
        <v>999</v>
      </c>
      <c r="FQ10" s="32" t="s">
        <v>1625</v>
      </c>
    </row>
    <row r="11" spans="1:173" x14ac:dyDescent="0.2">
      <c r="J11" s="33" t="s">
        <v>398</v>
      </c>
      <c r="K11" s="33" t="s">
        <v>399</v>
      </c>
      <c r="AE11" s="32" t="s">
        <v>1626</v>
      </c>
      <c r="AR11" s="32" t="s">
        <v>1627</v>
      </c>
      <c r="BH11" s="32" t="s">
        <v>1628</v>
      </c>
      <c r="BP11" s="32" t="s">
        <v>1629</v>
      </c>
      <c r="BX11" s="32" t="s">
        <v>1630</v>
      </c>
      <c r="CF11" s="32" t="s">
        <v>1631</v>
      </c>
      <c r="CN11" s="32" t="s">
        <v>1632</v>
      </c>
      <c r="CV11" s="32" t="s">
        <v>1633</v>
      </c>
      <c r="DJ11" s="32" t="s">
        <v>1634</v>
      </c>
      <c r="DX11" s="32" t="s">
        <v>1635</v>
      </c>
      <c r="EE11" s="32" t="s">
        <v>1636</v>
      </c>
      <c r="EF11" s="32" t="s">
        <v>1637</v>
      </c>
      <c r="EN11" s="32" t="s">
        <v>1638</v>
      </c>
      <c r="EO11" s="32" t="s">
        <v>994</v>
      </c>
      <c r="EX11" s="32" t="s">
        <v>1639</v>
      </c>
      <c r="FC11" s="32" t="s">
        <v>1640</v>
      </c>
      <c r="FD11" s="32" t="s">
        <v>1641</v>
      </c>
      <c r="FK11" s="32" t="s">
        <v>1642</v>
      </c>
      <c r="FL11" s="32" t="s">
        <v>1586</v>
      </c>
      <c r="FQ11" s="32" t="s">
        <v>1643</v>
      </c>
    </row>
    <row r="12" spans="1:173" x14ac:dyDescent="0.2">
      <c r="D12" s="33">
        <v>0</v>
      </c>
      <c r="E12" s="32">
        <v>1</v>
      </c>
      <c r="F12" s="32">
        <v>2</v>
      </c>
      <c r="G12" s="32">
        <v>3</v>
      </c>
      <c r="H12" s="33">
        <v>4</v>
      </c>
      <c r="I12" s="33">
        <v>5</v>
      </c>
      <c r="J12" s="33">
        <v>6</v>
      </c>
      <c r="K12" s="33">
        <v>7</v>
      </c>
      <c r="L12" s="33">
        <v>8</v>
      </c>
      <c r="M12" s="33">
        <v>9</v>
      </c>
      <c r="N12" s="33">
        <v>10</v>
      </c>
      <c r="O12" s="33">
        <v>11</v>
      </c>
      <c r="P12" s="33">
        <v>12</v>
      </c>
      <c r="Q12" s="33">
        <v>13</v>
      </c>
      <c r="R12" s="32">
        <v>14</v>
      </c>
      <c r="S12" s="32">
        <v>15</v>
      </c>
      <c r="T12" s="33">
        <v>16</v>
      </c>
      <c r="U12" s="32">
        <v>17</v>
      </c>
      <c r="V12" s="32">
        <v>18</v>
      </c>
      <c r="W12" s="32">
        <v>19</v>
      </c>
      <c r="X12" s="32">
        <v>20</v>
      </c>
      <c r="Y12" s="32">
        <v>21</v>
      </c>
    </row>
    <row r="13" spans="1:173" x14ac:dyDescent="0.2">
      <c r="B13" s="80">
        <v>41029.506260532406</v>
      </c>
      <c r="E13" s="32" t="s">
        <v>1644</v>
      </c>
      <c r="M13" s="33" t="s">
        <v>1644</v>
      </c>
    </row>
    <row r="14" spans="1:173" x14ac:dyDescent="0.2">
      <c r="B14" s="80">
        <v>41029.506260532406</v>
      </c>
      <c r="E14" s="32" t="s">
        <v>1645</v>
      </c>
      <c r="M14" s="33" t="s">
        <v>1645</v>
      </c>
    </row>
    <row r="15" spans="1:173" x14ac:dyDescent="0.2">
      <c r="E15" s="32" t="s">
        <v>1646</v>
      </c>
      <c r="M15" s="33" t="s">
        <v>1646</v>
      </c>
    </row>
    <row r="16" spans="1:173" x14ac:dyDescent="0.2">
      <c r="B16" s="32" t="s">
        <v>1647</v>
      </c>
    </row>
    <row r="17" spans="1:20" x14ac:dyDescent="0.2">
      <c r="B17" s="32" t="s">
        <v>2386</v>
      </c>
      <c r="E17" s="32" t="s">
        <v>2387</v>
      </c>
    </row>
    <row r="19" spans="1:20" x14ac:dyDescent="0.2">
      <c r="D19" s="81" t="s">
        <v>1648</v>
      </c>
      <c r="E19" s="77"/>
      <c r="F19" s="77" t="s">
        <v>1649</v>
      </c>
      <c r="G19" s="77"/>
      <c r="H19" s="81" t="s">
        <v>1650</v>
      </c>
      <c r="I19" s="81" t="s">
        <v>1651</v>
      </c>
      <c r="J19" s="81"/>
      <c r="K19" s="81"/>
      <c r="L19" s="81" t="s">
        <v>1652</v>
      </c>
      <c r="M19" s="81"/>
      <c r="N19" s="81"/>
      <c r="O19" s="81"/>
      <c r="P19" s="81"/>
      <c r="Q19" s="81"/>
      <c r="T19" s="81" t="s">
        <v>1653</v>
      </c>
    </row>
    <row r="20" spans="1:20" x14ac:dyDescent="0.2">
      <c r="D20" s="81" t="s">
        <v>1649</v>
      </c>
      <c r="E20" s="77"/>
      <c r="F20" s="77" t="s">
        <v>1654</v>
      </c>
      <c r="G20" s="77"/>
      <c r="H20" s="81" t="s">
        <v>1654</v>
      </c>
      <c r="I20" s="81" t="s">
        <v>1652</v>
      </c>
      <c r="J20" s="81"/>
      <c r="K20" s="81"/>
      <c r="L20" s="81" t="s">
        <v>1654</v>
      </c>
      <c r="M20" s="81"/>
      <c r="N20" s="81" t="s">
        <v>1655</v>
      </c>
      <c r="O20" s="81"/>
      <c r="P20" s="81"/>
      <c r="Q20" s="81"/>
      <c r="T20" s="81" t="s">
        <v>1648</v>
      </c>
    </row>
    <row r="21" spans="1:20" x14ac:dyDescent="0.2">
      <c r="C21" s="32" t="s">
        <v>1656</v>
      </c>
      <c r="D21" s="81" t="s">
        <v>1657</v>
      </c>
      <c r="E21" s="77"/>
      <c r="F21" s="77" t="s">
        <v>1658</v>
      </c>
      <c r="G21" s="77"/>
      <c r="H21" s="81" t="s">
        <v>1658</v>
      </c>
      <c r="I21" s="81" t="s">
        <v>1658</v>
      </c>
      <c r="J21" s="81"/>
      <c r="K21" s="81"/>
      <c r="L21" s="81" t="s">
        <v>1658</v>
      </c>
      <c r="M21" s="81"/>
      <c r="N21" s="81" t="s">
        <v>1658</v>
      </c>
      <c r="O21" s="81" t="s">
        <v>1659</v>
      </c>
      <c r="P21" s="81" t="s">
        <v>1660</v>
      </c>
      <c r="Q21" s="81" t="s">
        <v>1661</v>
      </c>
      <c r="T21" s="81" t="s">
        <v>1649</v>
      </c>
    </row>
    <row r="22" spans="1:20" x14ac:dyDescent="0.2">
      <c r="D22" s="81" t="s">
        <v>1662</v>
      </c>
      <c r="E22" s="77"/>
      <c r="F22" s="77" t="s">
        <v>1663</v>
      </c>
      <c r="H22" s="81">
        <v>-3</v>
      </c>
      <c r="I22" s="81">
        <v>-4</v>
      </c>
      <c r="J22" s="81"/>
      <c r="K22" s="81"/>
      <c r="L22" s="81">
        <v>-5</v>
      </c>
      <c r="M22" s="81"/>
      <c r="N22" s="81" t="s">
        <v>1664</v>
      </c>
      <c r="O22" s="81" t="s">
        <v>1665</v>
      </c>
      <c r="P22" s="81" t="s">
        <v>1666</v>
      </c>
      <c r="Q22" s="81" t="s">
        <v>1667</v>
      </c>
      <c r="T22" s="81" t="s">
        <v>1657</v>
      </c>
    </row>
    <row r="23" spans="1:20" x14ac:dyDescent="0.2">
      <c r="B23" s="32" t="s">
        <v>1668</v>
      </c>
    </row>
    <row r="25" spans="1:20" x14ac:dyDescent="0.2">
      <c r="B25" s="32" t="s">
        <v>1669</v>
      </c>
    </row>
    <row r="26" spans="1:20" x14ac:dyDescent="0.2">
      <c r="B26" s="32" t="s">
        <v>1670</v>
      </c>
    </row>
    <row r="27" spans="1:20" x14ac:dyDescent="0.2">
      <c r="B27" s="32" t="s">
        <v>1671</v>
      </c>
      <c r="F27" s="205"/>
      <c r="N27" s="33">
        <v>0</v>
      </c>
    </row>
    <row r="28" spans="1:20" x14ac:dyDescent="0.2">
      <c r="A28" s="32">
        <v>1</v>
      </c>
      <c r="B28" s="32" t="s">
        <v>1673</v>
      </c>
      <c r="C28" s="32" t="s">
        <v>1674</v>
      </c>
      <c r="D28" s="33">
        <v>3658952</v>
      </c>
      <c r="F28" s="33">
        <v>3166787</v>
      </c>
      <c r="H28" s="33">
        <v>185976</v>
      </c>
      <c r="I28" s="33">
        <v>306189</v>
      </c>
      <c r="L28" s="33">
        <v>28</v>
      </c>
      <c r="N28" s="33">
        <v>306161</v>
      </c>
      <c r="O28" s="33">
        <v>95530</v>
      </c>
      <c r="P28" s="33">
        <v>210631</v>
      </c>
      <c r="Q28" s="33">
        <v>0</v>
      </c>
    </row>
    <row r="29" spans="1:20" x14ac:dyDescent="0.2">
      <c r="A29" s="32">
        <v>2</v>
      </c>
      <c r="B29" s="32" t="s">
        <v>1675</v>
      </c>
      <c r="C29" s="32" t="s">
        <v>1676</v>
      </c>
      <c r="D29" s="33">
        <v>492137</v>
      </c>
      <c r="F29" s="33">
        <v>0</v>
      </c>
      <c r="H29" s="33">
        <v>185976</v>
      </c>
      <c r="I29" s="33">
        <v>306161</v>
      </c>
      <c r="L29" s="33">
        <v>0</v>
      </c>
      <c r="N29" s="33">
        <v>306161</v>
      </c>
      <c r="O29" s="33">
        <v>95530</v>
      </c>
      <c r="P29" s="33">
        <v>210631</v>
      </c>
      <c r="Q29" s="33">
        <v>0</v>
      </c>
    </row>
    <row r="30" spans="1:20" x14ac:dyDescent="0.2">
      <c r="A30" s="32">
        <v>3</v>
      </c>
      <c r="B30" s="32" t="s">
        <v>1677</v>
      </c>
      <c r="C30" s="32" t="s">
        <v>1678</v>
      </c>
      <c r="D30" s="33">
        <v>185976</v>
      </c>
      <c r="F30" s="33">
        <v>0</v>
      </c>
      <c r="H30" s="33">
        <v>185976</v>
      </c>
      <c r="I30" s="33">
        <v>0</v>
      </c>
      <c r="L30" s="33">
        <v>0</v>
      </c>
      <c r="N30" s="33">
        <v>0</v>
      </c>
      <c r="O30" s="33">
        <v>0</v>
      </c>
      <c r="P30" s="33">
        <v>0</v>
      </c>
      <c r="Q30" s="33">
        <v>0</v>
      </c>
    </row>
    <row r="31" spans="1:20" x14ac:dyDescent="0.2">
      <c r="A31" s="32">
        <v>4</v>
      </c>
      <c r="B31" s="32" t="s">
        <v>1679</v>
      </c>
      <c r="C31" s="32" t="s">
        <v>1680</v>
      </c>
      <c r="D31" s="33">
        <v>3472948</v>
      </c>
      <c r="F31" s="33">
        <v>3166787</v>
      </c>
      <c r="H31" s="33">
        <v>0</v>
      </c>
      <c r="I31" s="33">
        <v>306161</v>
      </c>
      <c r="L31" s="33">
        <v>0</v>
      </c>
      <c r="N31" s="33">
        <v>306161</v>
      </c>
      <c r="O31" s="33">
        <v>95530</v>
      </c>
      <c r="P31" s="33">
        <v>210631</v>
      </c>
      <c r="Q31" s="33">
        <v>0</v>
      </c>
    </row>
    <row r="32" spans="1:20" x14ac:dyDescent="0.2">
      <c r="A32" s="32">
        <v>5</v>
      </c>
      <c r="B32" s="32" t="s">
        <v>1681</v>
      </c>
      <c r="C32" s="32" t="s">
        <v>1682</v>
      </c>
      <c r="D32" s="33">
        <v>306161</v>
      </c>
      <c r="F32" s="33">
        <v>0</v>
      </c>
      <c r="H32" s="33">
        <v>0</v>
      </c>
      <c r="I32" s="33">
        <v>306161</v>
      </c>
      <c r="L32" s="33">
        <v>0</v>
      </c>
      <c r="N32" s="33">
        <v>306161</v>
      </c>
      <c r="O32" s="33">
        <v>95530</v>
      </c>
      <c r="P32" s="33">
        <v>210631</v>
      </c>
      <c r="Q32" s="33">
        <v>0</v>
      </c>
    </row>
    <row r="33" spans="1:17" x14ac:dyDescent="0.2">
      <c r="A33" s="32">
        <v>6</v>
      </c>
      <c r="B33" s="32" t="s">
        <v>1683</v>
      </c>
      <c r="C33" s="32" t="s">
        <v>1684</v>
      </c>
      <c r="D33" s="33">
        <v>3472976</v>
      </c>
      <c r="F33" s="33">
        <v>3166787</v>
      </c>
      <c r="H33" s="33">
        <v>0</v>
      </c>
      <c r="I33" s="33">
        <v>306189</v>
      </c>
      <c r="L33" s="33">
        <v>28</v>
      </c>
      <c r="N33" s="33">
        <v>306161</v>
      </c>
      <c r="O33" s="33">
        <v>95530</v>
      </c>
      <c r="P33" s="33">
        <v>210631</v>
      </c>
      <c r="Q33" s="33">
        <v>0</v>
      </c>
    </row>
    <row r="34" spans="1:17" x14ac:dyDescent="0.2">
      <c r="B34" s="32" t="s">
        <v>1685</v>
      </c>
      <c r="F34" s="33"/>
    </row>
    <row r="35" spans="1:17" x14ac:dyDescent="0.2">
      <c r="A35" s="32">
        <v>7</v>
      </c>
      <c r="B35" s="32" t="s">
        <v>1686</v>
      </c>
      <c r="C35" s="32" t="s">
        <v>1687</v>
      </c>
      <c r="D35" s="33">
        <v>3658952</v>
      </c>
      <c r="F35" s="33">
        <v>3166787</v>
      </c>
      <c r="H35" s="33">
        <v>185976</v>
      </c>
      <c r="I35" s="33">
        <v>306189</v>
      </c>
      <c r="L35" s="33">
        <v>28</v>
      </c>
      <c r="N35" s="33">
        <v>306161</v>
      </c>
      <c r="O35" s="33">
        <v>95530</v>
      </c>
      <c r="P35" s="33">
        <v>210631</v>
      </c>
      <c r="Q35" s="33">
        <v>0</v>
      </c>
    </row>
    <row r="36" spans="1:17" x14ac:dyDescent="0.2">
      <c r="A36" s="32">
        <v>8</v>
      </c>
      <c r="B36" s="32" t="s">
        <v>1688</v>
      </c>
      <c r="C36" s="32" t="s">
        <v>1689</v>
      </c>
      <c r="D36" s="33">
        <v>185976</v>
      </c>
      <c r="F36" s="33">
        <v>0</v>
      </c>
      <c r="H36" s="33">
        <v>185976</v>
      </c>
      <c r="I36" s="33">
        <v>0</v>
      </c>
      <c r="L36" s="33">
        <v>0</v>
      </c>
      <c r="N36" s="33">
        <v>0</v>
      </c>
      <c r="O36" s="33">
        <v>0</v>
      </c>
      <c r="P36" s="33">
        <v>0</v>
      </c>
      <c r="Q36" s="33">
        <v>0</v>
      </c>
    </row>
    <row r="37" spans="1:17" x14ac:dyDescent="0.2">
      <c r="A37" s="32">
        <v>9</v>
      </c>
      <c r="B37" s="32" t="s">
        <v>2388</v>
      </c>
      <c r="C37" s="32" t="s">
        <v>2389</v>
      </c>
      <c r="D37" s="33">
        <v>3352791</v>
      </c>
      <c r="F37" s="33">
        <v>3166787</v>
      </c>
      <c r="H37" s="33">
        <v>185976</v>
      </c>
      <c r="I37" s="33">
        <v>28</v>
      </c>
      <c r="L37" s="33">
        <v>28</v>
      </c>
      <c r="N37" s="33">
        <v>0</v>
      </c>
      <c r="O37" s="33">
        <v>0</v>
      </c>
      <c r="P37" s="33">
        <v>0</v>
      </c>
      <c r="Q37" s="33">
        <v>0</v>
      </c>
    </row>
    <row r="38" spans="1:17" x14ac:dyDescent="0.2">
      <c r="A38" s="32">
        <v>10</v>
      </c>
      <c r="B38" s="32" t="s">
        <v>1690</v>
      </c>
      <c r="C38" s="32" t="s">
        <v>1691</v>
      </c>
      <c r="D38" s="33">
        <v>492137</v>
      </c>
      <c r="F38" s="33">
        <v>0</v>
      </c>
      <c r="H38" s="33">
        <v>185976</v>
      </c>
      <c r="I38" s="33">
        <v>306161</v>
      </c>
      <c r="L38" s="33">
        <v>0</v>
      </c>
      <c r="N38" s="33">
        <v>306161</v>
      </c>
      <c r="O38" s="33">
        <v>95530</v>
      </c>
      <c r="P38" s="33">
        <v>210631</v>
      </c>
      <c r="Q38" s="33">
        <v>0</v>
      </c>
    </row>
    <row r="39" spans="1:17" x14ac:dyDescent="0.2">
      <c r="A39" s="32">
        <v>11</v>
      </c>
      <c r="B39" s="32" t="s">
        <v>1692</v>
      </c>
      <c r="C39" s="32" t="s">
        <v>1693</v>
      </c>
      <c r="D39" s="33">
        <v>306161</v>
      </c>
      <c r="F39" s="33">
        <v>0</v>
      </c>
      <c r="H39" s="33">
        <v>0</v>
      </c>
      <c r="I39" s="33">
        <v>306161</v>
      </c>
      <c r="L39" s="33">
        <v>0</v>
      </c>
      <c r="N39" s="33">
        <v>306161</v>
      </c>
      <c r="O39" s="33">
        <v>95530</v>
      </c>
      <c r="P39" s="33">
        <v>210631</v>
      </c>
      <c r="Q39" s="33">
        <v>0</v>
      </c>
    </row>
    <row r="40" spans="1:17" x14ac:dyDescent="0.2">
      <c r="F40" s="33"/>
    </row>
    <row r="41" spans="1:17" x14ac:dyDescent="0.2">
      <c r="B41" s="32" t="s">
        <v>1694</v>
      </c>
      <c r="F41" s="205"/>
    </row>
    <row r="42" spans="1:17" x14ac:dyDescent="0.2">
      <c r="A42" s="32">
        <v>12</v>
      </c>
      <c r="B42" s="32" t="s">
        <v>2390</v>
      </c>
      <c r="C42" s="32" t="s">
        <v>2391</v>
      </c>
      <c r="D42" s="33">
        <v>5112550.1000000006</v>
      </c>
      <c r="F42" s="33">
        <v>5103392.1000000006</v>
      </c>
      <c r="H42" s="33">
        <v>0</v>
      </c>
      <c r="I42" s="33">
        <v>9158</v>
      </c>
      <c r="L42" s="33">
        <v>0</v>
      </c>
      <c r="N42" s="33">
        <v>9158</v>
      </c>
      <c r="O42" s="33">
        <v>9158</v>
      </c>
      <c r="P42" s="33">
        <v>0</v>
      </c>
      <c r="Q42" s="33">
        <v>0</v>
      </c>
    </row>
    <row r="43" spans="1:17" x14ac:dyDescent="0.2">
      <c r="A43" s="32">
        <v>13</v>
      </c>
      <c r="B43" s="32" t="s">
        <v>2392</v>
      </c>
      <c r="C43" s="32" t="s">
        <v>2393</v>
      </c>
      <c r="D43" s="33">
        <v>7214274.7599999998</v>
      </c>
      <c r="F43" s="33">
        <v>6940988.7599999998</v>
      </c>
      <c r="H43" s="33">
        <v>0</v>
      </c>
      <c r="I43" s="33">
        <v>273286</v>
      </c>
      <c r="L43" s="33">
        <v>0</v>
      </c>
      <c r="N43" s="33">
        <v>273286</v>
      </c>
      <c r="O43" s="33">
        <v>273286</v>
      </c>
      <c r="P43" s="33">
        <v>0</v>
      </c>
      <c r="Q43" s="33">
        <v>0</v>
      </c>
    </row>
    <row r="44" spans="1:17" x14ac:dyDescent="0.2">
      <c r="A44" s="32">
        <v>14</v>
      </c>
      <c r="B44" s="32" t="s">
        <v>2394</v>
      </c>
      <c r="C44" s="32" t="s">
        <v>2395</v>
      </c>
      <c r="D44" s="33">
        <v>137609925.59999999</v>
      </c>
      <c r="F44" s="33">
        <v>134408399.59999999</v>
      </c>
      <c r="H44" s="33">
        <v>0</v>
      </c>
      <c r="I44" s="33">
        <v>3201526</v>
      </c>
      <c r="L44" s="33">
        <v>0</v>
      </c>
      <c r="N44" s="33">
        <v>3201526</v>
      </c>
      <c r="O44" s="33">
        <v>3201526</v>
      </c>
      <c r="P44" s="33">
        <v>0</v>
      </c>
      <c r="Q44" s="33">
        <v>0</v>
      </c>
    </row>
    <row r="45" spans="1:17" x14ac:dyDescent="0.2">
      <c r="A45" s="32">
        <v>15</v>
      </c>
      <c r="B45" s="32" t="s">
        <v>2396</v>
      </c>
      <c r="C45" s="32" t="s">
        <v>2397</v>
      </c>
      <c r="D45" s="33">
        <v>273798351.31999999</v>
      </c>
      <c r="F45" s="33">
        <v>273798351.31999999</v>
      </c>
      <c r="H45" s="33">
        <v>0</v>
      </c>
      <c r="I45" s="33">
        <v>0</v>
      </c>
      <c r="L45" s="33">
        <v>0</v>
      </c>
      <c r="N45" s="33">
        <v>0</v>
      </c>
      <c r="O45" s="33">
        <v>0</v>
      </c>
      <c r="P45" s="33">
        <v>0</v>
      </c>
      <c r="Q45" s="33">
        <v>0</v>
      </c>
    </row>
    <row r="46" spans="1:17" x14ac:dyDescent="0.2">
      <c r="A46" s="32">
        <v>16</v>
      </c>
      <c r="B46" s="32" t="s">
        <v>2398</v>
      </c>
      <c r="C46" s="32" t="s">
        <v>2399</v>
      </c>
      <c r="D46" s="33">
        <v>263336953.54999995</v>
      </c>
      <c r="F46" s="33">
        <v>263336953.54999995</v>
      </c>
      <c r="H46" s="33">
        <v>0</v>
      </c>
      <c r="I46" s="33">
        <v>0</v>
      </c>
      <c r="L46" s="33">
        <v>0</v>
      </c>
      <c r="N46" s="33">
        <v>0</v>
      </c>
      <c r="O46" s="33">
        <v>0</v>
      </c>
      <c r="P46" s="33">
        <v>0</v>
      </c>
      <c r="Q46" s="33">
        <v>0</v>
      </c>
    </row>
    <row r="47" spans="1:17" x14ac:dyDescent="0.2">
      <c r="A47" s="32">
        <v>17</v>
      </c>
      <c r="B47" s="32" t="s">
        <v>2400</v>
      </c>
      <c r="C47" s="32" t="s">
        <v>2401</v>
      </c>
      <c r="D47" s="33">
        <v>1831865.0699999998</v>
      </c>
      <c r="F47" s="33">
        <v>1831865.0699999998</v>
      </c>
      <c r="H47" s="33">
        <v>0</v>
      </c>
      <c r="I47" s="33">
        <v>0</v>
      </c>
      <c r="L47" s="33">
        <v>0</v>
      </c>
      <c r="N47" s="33">
        <v>0</v>
      </c>
      <c r="O47" s="33">
        <v>0</v>
      </c>
      <c r="P47" s="33">
        <v>0</v>
      </c>
      <c r="Q47" s="33">
        <v>0</v>
      </c>
    </row>
    <row r="48" spans="1:17" x14ac:dyDescent="0.2">
      <c r="A48" s="32">
        <v>18</v>
      </c>
      <c r="B48" s="32" t="s">
        <v>2402</v>
      </c>
      <c r="C48" s="32" t="s">
        <v>2403</v>
      </c>
      <c r="D48" s="33">
        <v>139509219.16</v>
      </c>
      <c r="F48" s="33">
        <v>139509219.16</v>
      </c>
      <c r="H48" s="33">
        <v>0</v>
      </c>
      <c r="I48" s="33">
        <v>0</v>
      </c>
      <c r="L48" s="33">
        <v>0</v>
      </c>
      <c r="N48" s="33">
        <v>0</v>
      </c>
      <c r="O48" s="33">
        <v>0</v>
      </c>
      <c r="P48" s="33">
        <v>0</v>
      </c>
      <c r="Q48" s="33">
        <v>0</v>
      </c>
    </row>
    <row r="49" spans="1:17" x14ac:dyDescent="0.2">
      <c r="A49" s="32">
        <v>19</v>
      </c>
      <c r="B49" s="32" t="s">
        <v>2404</v>
      </c>
      <c r="C49" s="32" t="s">
        <v>1778</v>
      </c>
      <c r="D49" s="33">
        <v>273917337.10000002</v>
      </c>
      <c r="F49" s="33">
        <v>273917337.10000002</v>
      </c>
      <c r="H49" s="33">
        <v>0</v>
      </c>
      <c r="I49" s="33">
        <v>0</v>
      </c>
      <c r="L49" s="33">
        <v>0</v>
      </c>
      <c r="N49" s="33">
        <v>0</v>
      </c>
      <c r="O49" s="33">
        <v>0</v>
      </c>
      <c r="P49" s="33">
        <v>0</v>
      </c>
      <c r="Q49" s="33">
        <v>0</v>
      </c>
    </row>
    <row r="50" spans="1:17" x14ac:dyDescent="0.2">
      <c r="A50" s="32">
        <v>20</v>
      </c>
      <c r="B50" s="32" t="s">
        <v>2405</v>
      </c>
      <c r="C50" s="32" t="s">
        <v>2275</v>
      </c>
      <c r="D50" s="33">
        <v>287375.78999999998</v>
      </c>
      <c r="F50" s="33">
        <v>287375.78999999998</v>
      </c>
      <c r="H50" s="33">
        <v>0</v>
      </c>
      <c r="I50" s="33">
        <v>0</v>
      </c>
      <c r="L50" s="33">
        <v>0</v>
      </c>
      <c r="N50" s="33">
        <v>0</v>
      </c>
      <c r="O50" s="33">
        <v>0</v>
      </c>
      <c r="P50" s="33">
        <v>0</v>
      </c>
      <c r="Q50" s="33">
        <v>0</v>
      </c>
    </row>
    <row r="51" spans="1:17" x14ac:dyDescent="0.2">
      <c r="A51" s="32">
        <v>21</v>
      </c>
      <c r="B51" s="32" t="s">
        <v>2406</v>
      </c>
      <c r="C51" s="32" t="s">
        <v>2407</v>
      </c>
      <c r="D51" s="33">
        <v>193250.44</v>
      </c>
      <c r="F51" s="33">
        <v>0</v>
      </c>
      <c r="H51" s="33">
        <v>193250.44</v>
      </c>
      <c r="I51" s="33">
        <v>0</v>
      </c>
      <c r="L51" s="33">
        <v>0</v>
      </c>
      <c r="N51" s="33">
        <v>0</v>
      </c>
      <c r="O51" s="33">
        <v>0</v>
      </c>
      <c r="P51" s="33">
        <v>0</v>
      </c>
      <c r="Q51" s="33">
        <v>0</v>
      </c>
    </row>
    <row r="52" spans="1:17" x14ac:dyDescent="0.2">
      <c r="A52" s="32">
        <v>22</v>
      </c>
      <c r="B52" s="32" t="s">
        <v>2408</v>
      </c>
      <c r="C52" s="32" t="s">
        <v>2409</v>
      </c>
      <c r="D52" s="33">
        <v>448173.6</v>
      </c>
      <c r="F52" s="33">
        <v>0</v>
      </c>
      <c r="H52" s="33">
        <v>448173.6</v>
      </c>
      <c r="I52" s="33">
        <v>0</v>
      </c>
      <c r="L52" s="33">
        <v>0</v>
      </c>
      <c r="N52" s="33">
        <v>0</v>
      </c>
      <c r="O52" s="33">
        <v>0</v>
      </c>
      <c r="P52" s="33">
        <v>0</v>
      </c>
      <c r="Q52" s="33">
        <v>0</v>
      </c>
    </row>
    <row r="53" spans="1:17" x14ac:dyDescent="0.2">
      <c r="A53" s="32">
        <v>23</v>
      </c>
      <c r="B53" s="32" t="s">
        <v>2410</v>
      </c>
      <c r="C53" s="32" t="s">
        <v>2411</v>
      </c>
      <c r="D53" s="33">
        <v>7696928.2699999996</v>
      </c>
      <c r="F53" s="33">
        <v>0</v>
      </c>
      <c r="H53" s="33">
        <v>7696928.2699999996</v>
      </c>
      <c r="I53" s="33">
        <v>0</v>
      </c>
      <c r="L53" s="33">
        <v>0</v>
      </c>
      <c r="N53" s="33">
        <v>0</v>
      </c>
      <c r="O53" s="33">
        <v>0</v>
      </c>
      <c r="P53" s="33">
        <v>0</v>
      </c>
      <c r="Q53" s="33">
        <v>0</v>
      </c>
    </row>
    <row r="54" spans="1:17" x14ac:dyDescent="0.2">
      <c r="A54" s="32">
        <v>24</v>
      </c>
      <c r="B54" s="32" t="s">
        <v>2412</v>
      </c>
      <c r="C54" s="32" t="s">
        <v>1779</v>
      </c>
      <c r="D54" s="33">
        <v>0</v>
      </c>
      <c r="F54" s="33">
        <v>0</v>
      </c>
      <c r="H54" s="33">
        <v>0</v>
      </c>
      <c r="I54" s="33">
        <v>0</v>
      </c>
      <c r="L54" s="33">
        <v>0</v>
      </c>
      <c r="N54" s="33">
        <v>0</v>
      </c>
      <c r="O54" s="33">
        <v>0</v>
      </c>
      <c r="P54" s="33">
        <v>0</v>
      </c>
      <c r="Q54" s="33">
        <v>0</v>
      </c>
    </row>
    <row r="55" spans="1:17" x14ac:dyDescent="0.2">
      <c r="A55" s="32">
        <v>25</v>
      </c>
      <c r="B55" s="32" t="s">
        <v>2413</v>
      </c>
      <c r="C55" s="32" t="s">
        <v>2414</v>
      </c>
      <c r="D55" s="33">
        <v>23371898.899999999</v>
      </c>
      <c r="F55" s="33">
        <v>0</v>
      </c>
      <c r="H55" s="33">
        <v>23371898.899999999</v>
      </c>
      <c r="I55" s="33">
        <v>0</v>
      </c>
      <c r="L55" s="33">
        <v>0</v>
      </c>
      <c r="N55" s="33">
        <v>0</v>
      </c>
      <c r="O55" s="33">
        <v>0</v>
      </c>
      <c r="P55" s="33">
        <v>0</v>
      </c>
      <c r="Q55" s="33">
        <v>0</v>
      </c>
    </row>
    <row r="56" spans="1:17" x14ac:dyDescent="0.2">
      <c r="A56" s="32">
        <v>26</v>
      </c>
      <c r="B56" s="32" t="s">
        <v>2415</v>
      </c>
      <c r="C56" s="32" t="s">
        <v>2416</v>
      </c>
      <c r="D56" s="33">
        <v>20121982.84</v>
      </c>
      <c r="F56" s="33">
        <v>0</v>
      </c>
      <c r="H56" s="33">
        <v>20121982.84</v>
      </c>
      <c r="I56" s="33">
        <v>0</v>
      </c>
      <c r="L56" s="33">
        <v>0</v>
      </c>
      <c r="N56" s="33">
        <v>0</v>
      </c>
      <c r="O56" s="33">
        <v>0</v>
      </c>
      <c r="P56" s="33">
        <v>0</v>
      </c>
      <c r="Q56" s="33">
        <v>0</v>
      </c>
    </row>
    <row r="57" spans="1:17" x14ac:dyDescent="0.2">
      <c r="A57" s="32">
        <v>27</v>
      </c>
      <c r="B57" s="32" t="s">
        <v>2417</v>
      </c>
      <c r="C57" s="32" t="s">
        <v>2418</v>
      </c>
      <c r="D57" s="33">
        <v>2763963.85</v>
      </c>
      <c r="F57" s="33">
        <v>0</v>
      </c>
      <c r="H57" s="33">
        <v>2763963.85</v>
      </c>
      <c r="I57" s="33">
        <v>0</v>
      </c>
      <c r="L57" s="33">
        <v>0</v>
      </c>
      <c r="N57" s="33">
        <v>0</v>
      </c>
      <c r="O57" s="33">
        <v>0</v>
      </c>
      <c r="P57" s="33">
        <v>0</v>
      </c>
      <c r="Q57" s="33">
        <v>0</v>
      </c>
    </row>
    <row r="58" spans="1:17" x14ac:dyDescent="0.2">
      <c r="A58" s="32">
        <v>28</v>
      </c>
      <c r="B58" s="32" t="s">
        <v>2419</v>
      </c>
      <c r="C58" s="32" t="s">
        <v>1780</v>
      </c>
      <c r="D58" s="33">
        <v>14023456.059999999</v>
      </c>
      <c r="F58" s="33">
        <v>0</v>
      </c>
      <c r="H58" s="33">
        <v>14023456.059999999</v>
      </c>
      <c r="I58" s="33">
        <v>0</v>
      </c>
      <c r="L58" s="33">
        <v>0</v>
      </c>
      <c r="N58" s="33">
        <v>0</v>
      </c>
      <c r="O58" s="33">
        <v>0</v>
      </c>
      <c r="P58" s="33">
        <v>0</v>
      </c>
      <c r="Q58" s="33">
        <v>0</v>
      </c>
    </row>
    <row r="59" spans="1:17" x14ac:dyDescent="0.2">
      <c r="A59" s="32">
        <v>29</v>
      </c>
      <c r="B59" s="32" t="s">
        <v>2420</v>
      </c>
      <c r="C59" s="32" t="s">
        <v>2421</v>
      </c>
      <c r="D59" s="33">
        <v>5040.2299999999996</v>
      </c>
      <c r="F59" s="33">
        <v>0</v>
      </c>
      <c r="H59" s="33">
        <v>0</v>
      </c>
      <c r="I59" s="33">
        <v>5040.2299999999996</v>
      </c>
      <c r="L59" s="33">
        <v>5040.2299999999996</v>
      </c>
      <c r="N59" s="33">
        <v>0</v>
      </c>
      <c r="O59" s="33">
        <v>0</v>
      </c>
      <c r="P59" s="33">
        <v>0</v>
      </c>
      <c r="Q59" s="33">
        <v>0</v>
      </c>
    </row>
    <row r="60" spans="1:17" x14ac:dyDescent="0.2">
      <c r="A60" s="32">
        <v>30</v>
      </c>
      <c r="B60" s="32" t="s">
        <v>2422</v>
      </c>
      <c r="C60" s="32" t="s">
        <v>2423</v>
      </c>
      <c r="D60" s="33">
        <v>2621.29</v>
      </c>
      <c r="F60" s="33">
        <v>0</v>
      </c>
      <c r="H60" s="33">
        <v>0</v>
      </c>
      <c r="I60" s="33">
        <v>2621.29</v>
      </c>
      <c r="L60" s="33">
        <v>2621.29</v>
      </c>
      <c r="N60" s="33">
        <v>0</v>
      </c>
      <c r="O60" s="33">
        <v>0</v>
      </c>
      <c r="P60" s="33">
        <v>0</v>
      </c>
      <c r="Q60" s="33">
        <v>0</v>
      </c>
    </row>
    <row r="61" spans="1:17" x14ac:dyDescent="0.2">
      <c r="A61" s="32">
        <v>31</v>
      </c>
      <c r="B61" s="32" t="s">
        <v>2424</v>
      </c>
      <c r="C61" s="32" t="s">
        <v>2425</v>
      </c>
      <c r="D61" s="33">
        <v>56019.76</v>
      </c>
      <c r="F61" s="33">
        <v>0</v>
      </c>
      <c r="H61" s="33">
        <v>0</v>
      </c>
      <c r="I61" s="33">
        <v>56019.76</v>
      </c>
      <c r="L61" s="33">
        <v>56019.76</v>
      </c>
      <c r="N61" s="33">
        <v>0</v>
      </c>
      <c r="O61" s="33">
        <v>0</v>
      </c>
      <c r="P61" s="33">
        <v>0</v>
      </c>
      <c r="Q61" s="33">
        <v>0</v>
      </c>
    </row>
    <row r="62" spans="1:17" x14ac:dyDescent="0.2">
      <c r="A62" s="32">
        <v>32</v>
      </c>
      <c r="B62" s="32" t="s">
        <v>2426</v>
      </c>
      <c r="C62" s="32" t="s">
        <v>2427</v>
      </c>
      <c r="D62" s="33">
        <v>48114.2</v>
      </c>
      <c r="F62" s="33">
        <v>0</v>
      </c>
      <c r="H62" s="33">
        <v>0</v>
      </c>
      <c r="I62" s="33">
        <v>48114.2</v>
      </c>
      <c r="L62" s="33">
        <v>48114.2</v>
      </c>
      <c r="N62" s="33">
        <v>0</v>
      </c>
      <c r="O62" s="33">
        <v>0</v>
      </c>
      <c r="P62" s="33">
        <v>0</v>
      </c>
      <c r="Q62" s="33">
        <v>0</v>
      </c>
    </row>
    <row r="63" spans="1:17" x14ac:dyDescent="0.2">
      <c r="A63" s="32">
        <v>33</v>
      </c>
      <c r="B63" s="32" t="s">
        <v>2428</v>
      </c>
      <c r="C63" s="32" t="s">
        <v>2429</v>
      </c>
      <c r="D63" s="33">
        <v>46763.22</v>
      </c>
      <c r="F63" s="33">
        <v>0</v>
      </c>
      <c r="H63" s="33">
        <v>0</v>
      </c>
      <c r="I63" s="33">
        <v>46763.22</v>
      </c>
      <c r="L63" s="33">
        <v>46763.22</v>
      </c>
      <c r="N63" s="33">
        <v>0</v>
      </c>
      <c r="O63" s="33">
        <v>0</v>
      </c>
      <c r="P63" s="33">
        <v>0</v>
      </c>
      <c r="Q63" s="33">
        <v>0</v>
      </c>
    </row>
    <row r="64" spans="1:17" x14ac:dyDescent="0.2">
      <c r="A64" s="32">
        <v>34</v>
      </c>
      <c r="B64" s="32" t="s">
        <v>2430</v>
      </c>
      <c r="C64" s="32" t="s">
        <v>2431</v>
      </c>
      <c r="D64" s="33">
        <v>3118.28</v>
      </c>
      <c r="F64" s="33">
        <v>0</v>
      </c>
      <c r="H64" s="33">
        <v>0</v>
      </c>
      <c r="I64" s="33">
        <v>3118.28</v>
      </c>
      <c r="L64" s="33">
        <v>3118.28</v>
      </c>
      <c r="N64" s="33">
        <v>0</v>
      </c>
      <c r="O64" s="33">
        <v>0</v>
      </c>
      <c r="P64" s="33">
        <v>0</v>
      </c>
      <c r="Q64" s="33">
        <v>0</v>
      </c>
    </row>
    <row r="65" spans="1:17" x14ac:dyDescent="0.2">
      <c r="A65" s="32">
        <v>35</v>
      </c>
      <c r="B65" s="32" t="s">
        <v>2432</v>
      </c>
      <c r="C65" s="32" t="s">
        <v>2433</v>
      </c>
      <c r="D65" s="33">
        <v>254.62</v>
      </c>
      <c r="F65" s="33">
        <v>0</v>
      </c>
      <c r="H65" s="33">
        <v>0</v>
      </c>
      <c r="I65" s="33">
        <v>254.62</v>
      </c>
      <c r="L65" s="33">
        <v>254.62</v>
      </c>
      <c r="N65" s="33">
        <v>0</v>
      </c>
      <c r="O65" s="33">
        <v>0</v>
      </c>
      <c r="P65" s="33">
        <v>0</v>
      </c>
      <c r="Q65" s="33">
        <v>0</v>
      </c>
    </row>
    <row r="66" spans="1:17" x14ac:dyDescent="0.2">
      <c r="A66" s="32">
        <v>36</v>
      </c>
      <c r="B66" s="32" t="s">
        <v>2434</v>
      </c>
      <c r="C66" s="32" t="s">
        <v>2435</v>
      </c>
      <c r="D66" s="33">
        <v>111.07999999999993</v>
      </c>
      <c r="F66" s="33">
        <v>0</v>
      </c>
      <c r="H66" s="33">
        <v>0</v>
      </c>
      <c r="I66" s="33">
        <v>111.07999999999993</v>
      </c>
      <c r="L66" s="33">
        <v>111.07999999999993</v>
      </c>
      <c r="N66" s="33">
        <v>0</v>
      </c>
      <c r="O66" s="33">
        <v>0</v>
      </c>
      <c r="P66" s="33">
        <v>0</v>
      </c>
      <c r="Q66" s="33">
        <v>0</v>
      </c>
    </row>
    <row r="67" spans="1:17" x14ac:dyDescent="0.2">
      <c r="A67" s="32">
        <v>37</v>
      </c>
      <c r="B67" s="32" t="s">
        <v>2436</v>
      </c>
      <c r="C67" s="32" t="s">
        <v>2437</v>
      </c>
      <c r="D67" s="33">
        <v>0</v>
      </c>
      <c r="F67" s="33">
        <v>0</v>
      </c>
      <c r="H67" s="33">
        <v>0</v>
      </c>
      <c r="I67" s="33">
        <v>0</v>
      </c>
      <c r="L67" s="33">
        <v>0</v>
      </c>
      <c r="N67" s="33">
        <v>0</v>
      </c>
      <c r="O67" s="33">
        <v>0</v>
      </c>
      <c r="P67" s="33">
        <v>0</v>
      </c>
      <c r="Q67" s="33">
        <v>0</v>
      </c>
    </row>
    <row r="68" spans="1:17" x14ac:dyDescent="0.2">
      <c r="A68" s="32">
        <v>38</v>
      </c>
      <c r="B68" s="32" t="s">
        <v>1781</v>
      </c>
      <c r="C68" s="32" t="s">
        <v>1782</v>
      </c>
      <c r="D68" s="33">
        <v>37401886.039999999</v>
      </c>
      <c r="F68" s="33">
        <v>0</v>
      </c>
      <c r="H68" s="33">
        <v>37260617.079999998</v>
      </c>
      <c r="I68" s="33">
        <v>141268.96</v>
      </c>
      <c r="L68" s="33">
        <v>141268.96</v>
      </c>
      <c r="N68" s="33">
        <v>0</v>
      </c>
      <c r="O68" s="33">
        <v>0</v>
      </c>
      <c r="P68" s="33">
        <v>0</v>
      </c>
      <c r="Q68" s="33">
        <v>0</v>
      </c>
    </row>
    <row r="69" spans="1:17" x14ac:dyDescent="0.2">
      <c r="A69" s="32">
        <v>39</v>
      </c>
      <c r="B69" s="32" t="s">
        <v>1783</v>
      </c>
      <c r="C69" s="32" t="s">
        <v>1784</v>
      </c>
      <c r="D69" s="33">
        <v>1166386.3899999994</v>
      </c>
      <c r="F69" s="33">
        <v>0</v>
      </c>
      <c r="H69" s="33">
        <v>1166386.3899999994</v>
      </c>
      <c r="I69" s="33">
        <v>0</v>
      </c>
      <c r="L69" s="33">
        <v>0</v>
      </c>
      <c r="N69" s="33">
        <v>0</v>
      </c>
      <c r="O69" s="33">
        <v>0</v>
      </c>
      <c r="P69" s="33">
        <v>0</v>
      </c>
      <c r="Q69" s="33">
        <v>0</v>
      </c>
    </row>
    <row r="70" spans="1:17" x14ac:dyDescent="0.2">
      <c r="A70" s="32">
        <v>40</v>
      </c>
      <c r="B70" s="32" t="s">
        <v>1785</v>
      </c>
      <c r="C70" s="32" t="s">
        <v>1786</v>
      </c>
      <c r="D70" s="33">
        <v>5364985</v>
      </c>
      <c r="F70" s="33">
        <v>0</v>
      </c>
      <c r="H70" s="33">
        <v>5364985</v>
      </c>
      <c r="I70" s="33">
        <v>0</v>
      </c>
      <c r="L70" s="33">
        <v>0</v>
      </c>
      <c r="N70" s="33">
        <v>0</v>
      </c>
      <c r="O70" s="33">
        <v>0</v>
      </c>
      <c r="P70" s="33">
        <v>0</v>
      </c>
      <c r="Q70" s="33">
        <v>0</v>
      </c>
    </row>
    <row r="71" spans="1:17" x14ac:dyDescent="0.2">
      <c r="A71" s="32">
        <v>41</v>
      </c>
      <c r="B71" s="32" t="s">
        <v>1787</v>
      </c>
      <c r="C71" s="32" t="s">
        <v>1788</v>
      </c>
      <c r="D71" s="33">
        <v>0</v>
      </c>
      <c r="F71" s="33">
        <v>0</v>
      </c>
      <c r="H71" s="33">
        <v>0</v>
      </c>
      <c r="I71" s="33">
        <v>0</v>
      </c>
      <c r="L71" s="33">
        <v>0</v>
      </c>
      <c r="N71" s="33">
        <v>0</v>
      </c>
      <c r="O71" s="33">
        <v>0</v>
      </c>
      <c r="P71" s="33">
        <v>0</v>
      </c>
      <c r="Q71" s="33">
        <v>0</v>
      </c>
    </row>
    <row r="72" spans="1:17" x14ac:dyDescent="0.2">
      <c r="A72" s="32">
        <v>42</v>
      </c>
      <c r="B72" s="32" t="s">
        <v>2438</v>
      </c>
      <c r="C72" s="32" t="s">
        <v>2439</v>
      </c>
      <c r="D72" s="33">
        <v>2338708.0299999998</v>
      </c>
      <c r="F72" s="33">
        <v>2153990.46</v>
      </c>
      <c r="H72" s="33">
        <v>184358.57</v>
      </c>
      <c r="I72" s="33">
        <v>359</v>
      </c>
      <c r="L72" s="33">
        <v>359</v>
      </c>
      <c r="N72" s="33">
        <v>0</v>
      </c>
      <c r="O72" s="33">
        <v>0</v>
      </c>
      <c r="P72" s="33">
        <v>0</v>
      </c>
      <c r="Q72" s="33">
        <v>0</v>
      </c>
    </row>
    <row r="73" spans="1:17" x14ac:dyDescent="0.2">
      <c r="A73" s="32">
        <v>43</v>
      </c>
      <c r="B73" s="32" t="s">
        <v>2440</v>
      </c>
      <c r="C73" s="32" t="s">
        <v>2441</v>
      </c>
      <c r="D73" s="33">
        <v>15192.37</v>
      </c>
      <c r="F73" s="33">
        <v>14276.87</v>
      </c>
      <c r="H73" s="33">
        <v>915.5</v>
      </c>
      <c r="I73" s="33">
        <v>0</v>
      </c>
      <c r="L73" s="33">
        <v>0</v>
      </c>
      <c r="N73" s="33">
        <v>0</v>
      </c>
      <c r="O73" s="33">
        <v>0</v>
      </c>
      <c r="P73" s="33">
        <v>0</v>
      </c>
      <c r="Q73" s="33">
        <v>0</v>
      </c>
    </row>
    <row r="74" spans="1:17" x14ac:dyDescent="0.2">
      <c r="A74" s="32">
        <v>44</v>
      </c>
      <c r="B74" s="32" t="s">
        <v>2442</v>
      </c>
      <c r="C74" s="32" t="s">
        <v>2443</v>
      </c>
      <c r="D74" s="33">
        <v>22525.48</v>
      </c>
      <c r="F74" s="33">
        <v>22525.48</v>
      </c>
      <c r="H74" s="33">
        <v>0</v>
      </c>
      <c r="I74" s="33">
        <v>0</v>
      </c>
      <c r="L74" s="33">
        <v>0</v>
      </c>
      <c r="N74" s="33">
        <v>0</v>
      </c>
      <c r="O74" s="33">
        <v>0</v>
      </c>
      <c r="P74" s="33">
        <v>0</v>
      </c>
      <c r="Q74" s="33">
        <v>0</v>
      </c>
    </row>
    <row r="75" spans="1:17" x14ac:dyDescent="0.2">
      <c r="A75" s="32">
        <v>45</v>
      </c>
      <c r="B75" s="32" t="s">
        <v>2444</v>
      </c>
      <c r="C75" s="32" t="s">
        <v>2445</v>
      </c>
      <c r="D75" s="33">
        <v>1791597.25</v>
      </c>
      <c r="F75" s="33">
        <v>1659612.5</v>
      </c>
      <c r="H75" s="33">
        <v>131984.75</v>
      </c>
      <c r="I75" s="33">
        <v>0</v>
      </c>
      <c r="L75" s="33">
        <v>0</v>
      </c>
      <c r="N75" s="33">
        <v>0</v>
      </c>
      <c r="O75" s="33">
        <v>0</v>
      </c>
      <c r="P75" s="33">
        <v>0</v>
      </c>
      <c r="Q75" s="33">
        <v>0</v>
      </c>
    </row>
    <row r="76" spans="1:17" x14ac:dyDescent="0.2">
      <c r="A76" s="32">
        <v>46</v>
      </c>
      <c r="B76" s="32" t="s">
        <v>2446</v>
      </c>
      <c r="C76" s="32" t="s">
        <v>2447</v>
      </c>
      <c r="D76" s="33">
        <v>559379.78999999992</v>
      </c>
      <c r="F76" s="33">
        <v>547024.47</v>
      </c>
      <c r="H76" s="33">
        <v>12355.32</v>
      </c>
      <c r="I76" s="33">
        <v>0</v>
      </c>
      <c r="L76" s="33">
        <v>0</v>
      </c>
      <c r="N76" s="33">
        <v>0</v>
      </c>
      <c r="O76" s="33">
        <v>0</v>
      </c>
      <c r="P76" s="33">
        <v>0</v>
      </c>
      <c r="Q76" s="33">
        <v>0</v>
      </c>
    </row>
    <row r="77" spans="1:17" x14ac:dyDescent="0.2">
      <c r="A77" s="32">
        <v>47</v>
      </c>
      <c r="B77" s="32" t="s">
        <v>2448</v>
      </c>
      <c r="C77" s="32" t="s">
        <v>2449</v>
      </c>
      <c r="D77" s="33">
        <v>139731.85</v>
      </c>
      <c r="F77" s="33">
        <v>130861.85</v>
      </c>
      <c r="H77" s="33">
        <v>8870</v>
      </c>
      <c r="I77" s="33">
        <v>0</v>
      </c>
      <c r="L77" s="33">
        <v>0</v>
      </c>
      <c r="N77" s="33">
        <v>0</v>
      </c>
      <c r="O77" s="33">
        <v>0</v>
      </c>
      <c r="P77" s="33">
        <v>0</v>
      </c>
      <c r="Q77" s="33">
        <v>0</v>
      </c>
    </row>
    <row r="78" spans="1:17" x14ac:dyDescent="0.2">
      <c r="A78" s="32">
        <v>48</v>
      </c>
      <c r="B78" s="32" t="s">
        <v>1789</v>
      </c>
      <c r="C78" s="32" t="s">
        <v>1790</v>
      </c>
      <c r="D78" s="33">
        <v>21847</v>
      </c>
      <c r="F78" s="33">
        <v>0</v>
      </c>
      <c r="H78" s="33">
        <v>21847</v>
      </c>
      <c r="I78" s="33">
        <v>0</v>
      </c>
      <c r="L78" s="33">
        <v>0</v>
      </c>
      <c r="N78" s="33">
        <v>0</v>
      </c>
      <c r="O78" s="33">
        <v>0</v>
      </c>
      <c r="P78" s="33">
        <v>0</v>
      </c>
      <c r="Q78" s="33">
        <v>0</v>
      </c>
    </row>
    <row r="79" spans="1:17" x14ac:dyDescent="0.2">
      <c r="A79" s="32">
        <v>49</v>
      </c>
      <c r="B79" s="32" t="s">
        <v>1791</v>
      </c>
      <c r="C79" s="32" t="s">
        <v>1792</v>
      </c>
      <c r="D79" s="33">
        <v>0</v>
      </c>
      <c r="F79" s="33">
        <v>0</v>
      </c>
      <c r="H79" s="33">
        <v>0</v>
      </c>
      <c r="I79" s="33">
        <v>0</v>
      </c>
      <c r="L79" s="33">
        <v>0</v>
      </c>
      <c r="N79" s="33">
        <v>0</v>
      </c>
      <c r="O79" s="33">
        <v>0</v>
      </c>
      <c r="P79" s="33">
        <v>0</v>
      </c>
      <c r="Q79" s="33">
        <v>0</v>
      </c>
    </row>
    <row r="80" spans="1:17" x14ac:dyDescent="0.2">
      <c r="A80" s="32">
        <v>50</v>
      </c>
      <c r="B80" s="32" t="s">
        <v>1793</v>
      </c>
      <c r="C80" s="32" t="s">
        <v>1794</v>
      </c>
      <c r="D80" s="33">
        <v>-2824747</v>
      </c>
      <c r="F80" s="33">
        <v>0</v>
      </c>
      <c r="H80" s="33">
        <v>-2824747</v>
      </c>
      <c r="I80" s="33">
        <v>0</v>
      </c>
      <c r="L80" s="33">
        <v>0</v>
      </c>
      <c r="N80" s="33">
        <v>0</v>
      </c>
      <c r="O80" s="33">
        <v>0</v>
      </c>
      <c r="P80" s="33">
        <v>0</v>
      </c>
      <c r="Q80" s="33">
        <v>0</v>
      </c>
    </row>
    <row r="81" spans="1:17" x14ac:dyDescent="0.2">
      <c r="F81" s="33"/>
    </row>
    <row r="82" spans="1:17" x14ac:dyDescent="0.2">
      <c r="F82" s="33"/>
    </row>
    <row r="83" spans="1:17" x14ac:dyDescent="0.2">
      <c r="B83" s="32" t="s">
        <v>1795</v>
      </c>
      <c r="F83" s="33"/>
    </row>
    <row r="84" spans="1:17" x14ac:dyDescent="0.2">
      <c r="B84" s="32" t="s">
        <v>1670</v>
      </c>
      <c r="F84" s="33"/>
    </row>
    <row r="85" spans="1:17" x14ac:dyDescent="0.2">
      <c r="A85" s="32">
        <v>1</v>
      </c>
      <c r="B85" s="32" t="s">
        <v>1796</v>
      </c>
      <c r="C85" s="32" t="s">
        <v>1795</v>
      </c>
      <c r="D85" s="33">
        <v>21597286</v>
      </c>
      <c r="F85" s="33">
        <v>18737090</v>
      </c>
      <c r="H85" s="33">
        <v>990712</v>
      </c>
      <c r="I85" s="33">
        <v>1869484</v>
      </c>
      <c r="L85" s="33">
        <v>103</v>
      </c>
      <c r="N85" s="33">
        <v>1869381</v>
      </c>
      <c r="O85" s="33">
        <v>610253</v>
      </c>
      <c r="P85" s="33">
        <v>1259128</v>
      </c>
      <c r="Q85" s="33">
        <v>0</v>
      </c>
    </row>
    <row r="86" spans="1:17" x14ac:dyDescent="0.2">
      <c r="A86" s="32">
        <v>2</v>
      </c>
      <c r="B86" s="32" t="s">
        <v>1797</v>
      </c>
      <c r="C86" s="32" t="s">
        <v>1798</v>
      </c>
      <c r="D86" s="33">
        <v>19727905</v>
      </c>
      <c r="F86" s="33">
        <v>18737090</v>
      </c>
      <c r="H86" s="33">
        <v>990712</v>
      </c>
      <c r="I86" s="33">
        <v>103</v>
      </c>
      <c r="L86" s="33">
        <v>103</v>
      </c>
      <c r="N86" s="33">
        <v>0</v>
      </c>
      <c r="O86" s="33">
        <v>0</v>
      </c>
      <c r="P86" s="33">
        <v>0</v>
      </c>
      <c r="Q86" s="33">
        <v>0</v>
      </c>
    </row>
    <row r="87" spans="1:17" x14ac:dyDescent="0.2">
      <c r="A87" s="32">
        <v>3</v>
      </c>
      <c r="F87" s="33"/>
    </row>
    <row r="88" spans="1:17" x14ac:dyDescent="0.2">
      <c r="A88" s="32">
        <v>4</v>
      </c>
      <c r="F88" s="33"/>
    </row>
    <row r="89" spans="1:17" x14ac:dyDescent="0.2">
      <c r="F89" s="33"/>
    </row>
    <row r="90" spans="1:17" x14ac:dyDescent="0.2">
      <c r="B90" s="32" t="s">
        <v>1799</v>
      </c>
      <c r="F90" s="33"/>
    </row>
    <row r="91" spans="1:17" x14ac:dyDescent="0.2">
      <c r="B91" s="32" t="s">
        <v>1670</v>
      </c>
      <c r="F91" s="33"/>
    </row>
    <row r="92" spans="1:17" x14ac:dyDescent="0.2">
      <c r="A92" s="32">
        <v>1</v>
      </c>
      <c r="B92" s="32" t="s">
        <v>2450</v>
      </c>
      <c r="C92" s="32" t="s">
        <v>1801</v>
      </c>
      <c r="D92" s="33">
        <v>84507617.649999991</v>
      </c>
      <c r="F92" s="33">
        <v>84507617.649999991</v>
      </c>
      <c r="H92" s="33">
        <v>0</v>
      </c>
      <c r="I92" s="33">
        <v>0</v>
      </c>
      <c r="L92" s="33">
        <v>0</v>
      </c>
      <c r="N92" s="33">
        <v>0</v>
      </c>
      <c r="O92" s="33">
        <v>0</v>
      </c>
      <c r="P92" s="33">
        <v>0</v>
      </c>
      <c r="Q92" s="33">
        <v>0</v>
      </c>
    </row>
    <row r="93" spans="1:17" x14ac:dyDescent="0.2">
      <c r="A93" s="32">
        <v>2</v>
      </c>
      <c r="B93" s="32" t="s">
        <v>2451</v>
      </c>
      <c r="C93" s="32" t="s">
        <v>1803</v>
      </c>
      <c r="D93" s="33">
        <v>67284794.690000013</v>
      </c>
      <c r="F93" s="33">
        <v>66969752.690000013</v>
      </c>
      <c r="H93" s="33">
        <v>0</v>
      </c>
      <c r="I93" s="33">
        <v>315042</v>
      </c>
      <c r="L93" s="33">
        <v>0</v>
      </c>
      <c r="N93" s="33">
        <v>315042</v>
      </c>
      <c r="O93" s="33">
        <v>66911</v>
      </c>
      <c r="P93" s="33">
        <v>248131</v>
      </c>
      <c r="Q93" s="33">
        <v>0</v>
      </c>
    </row>
    <row r="94" spans="1:17" x14ac:dyDescent="0.2">
      <c r="A94" s="32">
        <v>3</v>
      </c>
      <c r="B94" s="32" t="s">
        <v>2452</v>
      </c>
      <c r="C94" s="32" t="s">
        <v>1805</v>
      </c>
      <c r="D94" s="33">
        <v>17384575.219999999</v>
      </c>
      <c r="F94" s="33">
        <v>17384575.219999999</v>
      </c>
      <c r="H94" s="33">
        <v>0</v>
      </c>
      <c r="I94" s="33">
        <v>0</v>
      </c>
      <c r="L94" s="33">
        <v>0</v>
      </c>
      <c r="N94" s="33">
        <v>0</v>
      </c>
      <c r="O94" s="33">
        <v>0</v>
      </c>
      <c r="P94" s="33">
        <v>0</v>
      </c>
      <c r="Q94" s="33">
        <v>0</v>
      </c>
    </row>
    <row r="95" spans="1:17" x14ac:dyDescent="0.2">
      <c r="A95" s="32">
        <v>4</v>
      </c>
      <c r="B95" s="32" t="s">
        <v>2453</v>
      </c>
      <c r="C95" s="32" t="s">
        <v>1807</v>
      </c>
      <c r="D95" s="33">
        <v>80975589.62000002</v>
      </c>
      <c r="F95" s="33">
        <v>80975589.62000002</v>
      </c>
      <c r="H95" s="33">
        <v>0</v>
      </c>
      <c r="I95" s="33">
        <v>0</v>
      </c>
      <c r="L95" s="33">
        <v>0</v>
      </c>
      <c r="N95" s="33">
        <v>0</v>
      </c>
      <c r="O95" s="33">
        <v>0</v>
      </c>
      <c r="P95" s="33">
        <v>0</v>
      </c>
      <c r="Q95" s="33">
        <v>0</v>
      </c>
    </row>
    <row r="96" spans="1:17" x14ac:dyDescent="0.2">
      <c r="A96" s="32">
        <v>5</v>
      </c>
      <c r="B96" s="32" t="s">
        <v>1808</v>
      </c>
      <c r="C96" s="32" t="s">
        <v>1809</v>
      </c>
      <c r="D96" s="33">
        <v>3147887.17</v>
      </c>
      <c r="F96" s="33">
        <v>2936188.79</v>
      </c>
      <c r="H96" s="33">
        <v>211698.37999999989</v>
      </c>
      <c r="I96" s="33">
        <v>0</v>
      </c>
      <c r="L96" s="33">
        <v>0</v>
      </c>
      <c r="N96" s="33">
        <v>0</v>
      </c>
      <c r="O96" s="33">
        <v>0</v>
      </c>
      <c r="P96" s="33">
        <v>0</v>
      </c>
      <c r="Q96" s="33">
        <v>0</v>
      </c>
    </row>
    <row r="97" spans="1:17" x14ac:dyDescent="0.2">
      <c r="A97" s="32">
        <v>6</v>
      </c>
      <c r="B97" s="32" t="s">
        <v>1810</v>
      </c>
      <c r="C97" s="32" t="s">
        <v>1811</v>
      </c>
      <c r="D97" s="33">
        <v>23057677.960000001</v>
      </c>
      <c r="F97" s="33">
        <v>22532316.690000001</v>
      </c>
      <c r="H97" s="33">
        <v>525361.27</v>
      </c>
      <c r="I97" s="33">
        <v>0</v>
      </c>
      <c r="L97" s="33">
        <v>0</v>
      </c>
      <c r="N97" s="33">
        <v>0</v>
      </c>
      <c r="O97" s="33">
        <v>0</v>
      </c>
      <c r="P97" s="33">
        <v>0</v>
      </c>
      <c r="Q97" s="33">
        <v>0</v>
      </c>
    </row>
    <row r="98" spans="1:17" x14ac:dyDescent="0.2">
      <c r="A98" s="32">
        <v>7</v>
      </c>
      <c r="B98" s="32" t="s">
        <v>1812</v>
      </c>
      <c r="C98" s="32" t="s">
        <v>1813</v>
      </c>
      <c r="D98" s="33">
        <v>747403</v>
      </c>
      <c r="F98" s="33">
        <v>707124</v>
      </c>
      <c r="H98" s="33">
        <v>39349</v>
      </c>
      <c r="I98" s="33">
        <v>930</v>
      </c>
      <c r="L98" s="33">
        <v>7</v>
      </c>
      <c r="N98" s="33">
        <v>923</v>
      </c>
      <c r="O98" s="33">
        <v>494</v>
      </c>
      <c r="P98" s="33">
        <v>429</v>
      </c>
      <c r="Q98" s="33">
        <v>0</v>
      </c>
    </row>
    <row r="99" spans="1:17" x14ac:dyDescent="0.2">
      <c r="A99" s="32">
        <v>8</v>
      </c>
      <c r="B99" s="32" t="s">
        <v>1814</v>
      </c>
      <c r="C99" s="32" t="s">
        <v>1815</v>
      </c>
      <c r="D99" s="33">
        <v>747403</v>
      </c>
      <c r="F99" s="33">
        <v>707124</v>
      </c>
      <c r="H99" s="33">
        <v>39349</v>
      </c>
      <c r="I99" s="33">
        <v>930</v>
      </c>
      <c r="L99" s="33">
        <v>7</v>
      </c>
      <c r="N99" s="33">
        <v>923</v>
      </c>
      <c r="O99" s="33">
        <v>494</v>
      </c>
      <c r="P99" s="33">
        <v>429</v>
      </c>
      <c r="Q99" s="33">
        <v>0</v>
      </c>
    </row>
    <row r="100" spans="1:17" x14ac:dyDescent="0.2">
      <c r="A100" s="32">
        <v>9</v>
      </c>
      <c r="B100" s="32" t="s">
        <v>1816</v>
      </c>
      <c r="C100" s="32" t="s">
        <v>1817</v>
      </c>
      <c r="D100" s="33">
        <v>747403</v>
      </c>
      <c r="F100" s="33">
        <v>707124</v>
      </c>
      <c r="H100" s="33">
        <v>39349</v>
      </c>
      <c r="I100" s="33">
        <v>930</v>
      </c>
      <c r="L100" s="33">
        <v>7</v>
      </c>
      <c r="N100" s="33">
        <v>923</v>
      </c>
      <c r="O100" s="33">
        <v>494</v>
      </c>
      <c r="P100" s="33">
        <v>429</v>
      </c>
      <c r="Q100" s="33">
        <v>0</v>
      </c>
    </row>
    <row r="101" spans="1:17" x14ac:dyDescent="0.2">
      <c r="A101" s="32">
        <v>10</v>
      </c>
      <c r="B101" s="32" t="s">
        <v>1818</v>
      </c>
      <c r="C101" s="32" t="s">
        <v>1819</v>
      </c>
      <c r="D101" s="33">
        <v>5175445.7300000004</v>
      </c>
      <c r="F101" s="33">
        <v>0</v>
      </c>
      <c r="H101" s="33">
        <v>5175445.7300000004</v>
      </c>
      <c r="I101" s="33">
        <v>0</v>
      </c>
      <c r="L101" s="33">
        <v>0</v>
      </c>
      <c r="N101" s="33">
        <v>0</v>
      </c>
      <c r="O101" s="33">
        <v>0</v>
      </c>
      <c r="P101" s="33">
        <v>0</v>
      </c>
      <c r="Q101" s="33">
        <v>0</v>
      </c>
    </row>
    <row r="102" spans="1:17" x14ac:dyDescent="0.2">
      <c r="A102" s="32">
        <v>11</v>
      </c>
      <c r="B102" s="32" t="s">
        <v>1820</v>
      </c>
      <c r="C102" s="32" t="s">
        <v>1821</v>
      </c>
      <c r="D102" s="33">
        <v>3637511.5</v>
      </c>
      <c r="F102" s="33">
        <v>0</v>
      </c>
      <c r="H102" s="33">
        <v>3637511.5</v>
      </c>
      <c r="I102" s="33">
        <v>0</v>
      </c>
      <c r="L102" s="33">
        <v>0</v>
      </c>
      <c r="N102" s="33">
        <v>0</v>
      </c>
      <c r="O102" s="33">
        <v>0</v>
      </c>
      <c r="P102" s="33">
        <v>0</v>
      </c>
      <c r="Q102" s="33">
        <v>0</v>
      </c>
    </row>
    <row r="103" spans="1:17" x14ac:dyDescent="0.2">
      <c r="A103" s="32">
        <v>12</v>
      </c>
      <c r="B103" s="32" t="s">
        <v>2454</v>
      </c>
      <c r="C103" s="32" t="s">
        <v>1823</v>
      </c>
      <c r="D103" s="33">
        <v>856340.66</v>
      </c>
      <c r="F103" s="33">
        <v>0</v>
      </c>
      <c r="H103" s="33">
        <v>856340.66</v>
      </c>
      <c r="I103" s="33">
        <v>0</v>
      </c>
      <c r="L103" s="33">
        <v>0</v>
      </c>
      <c r="N103" s="33">
        <v>0</v>
      </c>
      <c r="O103" s="33">
        <v>0</v>
      </c>
      <c r="P103" s="33">
        <v>0</v>
      </c>
      <c r="Q103" s="33">
        <v>0</v>
      </c>
    </row>
    <row r="104" spans="1:17" x14ac:dyDescent="0.2">
      <c r="A104" s="32">
        <v>13</v>
      </c>
      <c r="B104" s="32" t="s">
        <v>1824</v>
      </c>
      <c r="C104" s="32" t="s">
        <v>1825</v>
      </c>
      <c r="D104" s="33">
        <v>2038653.7300000002</v>
      </c>
      <c r="F104" s="33">
        <v>0</v>
      </c>
      <c r="H104" s="33">
        <v>2038653.7300000002</v>
      </c>
      <c r="I104" s="33">
        <v>0</v>
      </c>
      <c r="L104" s="33">
        <v>0</v>
      </c>
      <c r="N104" s="33">
        <v>0</v>
      </c>
      <c r="O104" s="33">
        <v>0</v>
      </c>
      <c r="P104" s="33">
        <v>0</v>
      </c>
      <c r="Q104" s="33">
        <v>0</v>
      </c>
    </row>
    <row r="105" spans="1:17" x14ac:dyDescent="0.2">
      <c r="A105" s="32">
        <v>14</v>
      </c>
      <c r="B105" s="32" t="s">
        <v>1826</v>
      </c>
      <c r="C105" s="32" t="s">
        <v>1827</v>
      </c>
      <c r="D105" s="33">
        <v>510585</v>
      </c>
      <c r="F105" s="33">
        <v>510585</v>
      </c>
      <c r="H105" s="33">
        <v>0</v>
      </c>
      <c r="I105" s="33">
        <v>0</v>
      </c>
      <c r="L105" s="33">
        <v>0</v>
      </c>
      <c r="N105" s="33">
        <v>0</v>
      </c>
      <c r="O105" s="33">
        <v>0</v>
      </c>
      <c r="P105" s="33">
        <v>0</v>
      </c>
      <c r="Q105" s="33">
        <v>0</v>
      </c>
    </row>
    <row r="106" spans="1:17" x14ac:dyDescent="0.2">
      <c r="A106" s="32">
        <v>15</v>
      </c>
      <c r="B106" s="32" t="s">
        <v>1828</v>
      </c>
      <c r="C106" s="32" t="s">
        <v>1829</v>
      </c>
      <c r="D106" s="33">
        <v>539748</v>
      </c>
      <c r="F106" s="33">
        <v>510585</v>
      </c>
      <c r="H106" s="33">
        <v>29159</v>
      </c>
      <c r="I106" s="33">
        <v>4</v>
      </c>
      <c r="L106" s="33">
        <v>4</v>
      </c>
      <c r="N106" s="33">
        <v>0</v>
      </c>
      <c r="O106" s="33">
        <v>0</v>
      </c>
      <c r="P106" s="33">
        <v>0</v>
      </c>
      <c r="Q106" s="33">
        <v>0</v>
      </c>
    </row>
    <row r="107" spans="1:17" x14ac:dyDescent="0.2">
      <c r="A107" s="32">
        <v>16</v>
      </c>
      <c r="B107" s="32" t="s">
        <v>1830</v>
      </c>
      <c r="C107" s="32" t="s">
        <v>1831</v>
      </c>
      <c r="D107" s="33">
        <v>539748</v>
      </c>
      <c r="F107" s="33">
        <v>510585</v>
      </c>
      <c r="H107" s="33">
        <v>29159</v>
      </c>
      <c r="I107" s="33">
        <v>4</v>
      </c>
      <c r="L107" s="33">
        <v>4</v>
      </c>
      <c r="N107" s="33">
        <v>0</v>
      </c>
      <c r="O107" s="33">
        <v>0</v>
      </c>
      <c r="P107" s="33">
        <v>0</v>
      </c>
      <c r="Q107" s="33">
        <v>0</v>
      </c>
    </row>
    <row r="108" spans="1:17" x14ac:dyDescent="0.2">
      <c r="A108" s="32">
        <v>17</v>
      </c>
      <c r="B108" s="32" t="s">
        <v>1832</v>
      </c>
      <c r="C108" s="32" t="s">
        <v>1833</v>
      </c>
      <c r="D108" s="33">
        <v>539748</v>
      </c>
      <c r="F108" s="33">
        <v>510585</v>
      </c>
      <c r="H108" s="33">
        <v>29159</v>
      </c>
      <c r="I108" s="33">
        <v>4</v>
      </c>
      <c r="L108" s="33">
        <v>4</v>
      </c>
      <c r="N108" s="33">
        <v>0</v>
      </c>
      <c r="O108" s="33">
        <v>0</v>
      </c>
      <c r="P108" s="33">
        <v>0</v>
      </c>
      <c r="Q108" s="33">
        <v>0</v>
      </c>
    </row>
    <row r="109" spans="1:17" x14ac:dyDescent="0.2">
      <c r="A109" s="32">
        <v>18</v>
      </c>
      <c r="B109" s="32" t="s">
        <v>1834</v>
      </c>
      <c r="C109" s="32" t="s">
        <v>1835</v>
      </c>
      <c r="D109" s="33">
        <v>0</v>
      </c>
      <c r="F109" s="33">
        <v>0</v>
      </c>
      <c r="H109" s="33">
        <v>0</v>
      </c>
      <c r="I109" s="33">
        <v>0</v>
      </c>
      <c r="L109" s="33">
        <v>0</v>
      </c>
      <c r="N109" s="33">
        <v>0</v>
      </c>
      <c r="O109" s="33">
        <v>0</v>
      </c>
      <c r="P109" s="33">
        <v>0</v>
      </c>
      <c r="Q109" s="33">
        <v>0</v>
      </c>
    </row>
    <row r="110" spans="1:17" x14ac:dyDescent="0.2">
      <c r="A110" s="32">
        <v>19</v>
      </c>
      <c r="B110" s="32" t="s">
        <v>1836</v>
      </c>
      <c r="C110" s="32" t="s">
        <v>1837</v>
      </c>
      <c r="D110" s="33">
        <v>1373105.57</v>
      </c>
      <c r="F110" s="33">
        <v>1371386.12</v>
      </c>
      <c r="H110" s="33">
        <v>1719.45</v>
      </c>
      <c r="I110" s="33">
        <v>0</v>
      </c>
      <c r="L110" s="33">
        <v>0</v>
      </c>
      <c r="N110" s="33">
        <v>0</v>
      </c>
      <c r="O110" s="33">
        <v>0</v>
      </c>
      <c r="P110" s="33">
        <v>0</v>
      </c>
      <c r="Q110" s="33">
        <v>0</v>
      </c>
    </row>
    <row r="111" spans="1:17" x14ac:dyDescent="0.2">
      <c r="A111" s="32">
        <v>20</v>
      </c>
      <c r="B111" s="32" t="s">
        <v>2227</v>
      </c>
      <c r="C111" s="32" t="s">
        <v>2455</v>
      </c>
      <c r="D111" s="33">
        <v>7125785.6200000001</v>
      </c>
      <c r="F111" s="33">
        <v>6910623.6100000003</v>
      </c>
      <c r="H111" s="33">
        <v>213936.54</v>
      </c>
      <c r="I111" s="33">
        <v>1225.47</v>
      </c>
      <c r="L111" s="33">
        <v>0</v>
      </c>
      <c r="N111" s="33">
        <v>1225.47</v>
      </c>
      <c r="O111" s="33">
        <v>1198.6500000000001</v>
      </c>
      <c r="P111" s="33">
        <v>26.82</v>
      </c>
      <c r="Q111" s="33">
        <v>0</v>
      </c>
    </row>
    <row r="112" spans="1:17" x14ac:dyDescent="0.2">
      <c r="A112" s="32">
        <v>21</v>
      </c>
      <c r="F112" s="33"/>
    </row>
    <row r="113" spans="1:17" x14ac:dyDescent="0.2">
      <c r="A113" s="32">
        <v>22</v>
      </c>
      <c r="F113" s="33"/>
    </row>
    <row r="114" spans="1:17" x14ac:dyDescent="0.2">
      <c r="A114" s="32">
        <v>23</v>
      </c>
      <c r="F114" s="33"/>
    </row>
    <row r="115" spans="1:17" x14ac:dyDescent="0.2">
      <c r="A115" s="32">
        <v>24</v>
      </c>
      <c r="F115" s="33"/>
    </row>
    <row r="116" spans="1:17" x14ac:dyDescent="0.2">
      <c r="A116" s="32">
        <v>25</v>
      </c>
      <c r="F116" s="33"/>
    </row>
    <row r="117" spans="1:17" x14ac:dyDescent="0.2">
      <c r="F117" s="33"/>
    </row>
    <row r="118" spans="1:17" x14ac:dyDescent="0.2">
      <c r="B118" s="32" t="s">
        <v>1838</v>
      </c>
      <c r="F118" s="33"/>
    </row>
    <row r="119" spans="1:17" x14ac:dyDescent="0.2">
      <c r="B119" s="32" t="s">
        <v>1670</v>
      </c>
      <c r="F119" s="33"/>
    </row>
    <row r="120" spans="1:17" x14ac:dyDescent="0.2">
      <c r="A120" s="32">
        <v>1</v>
      </c>
      <c r="B120" s="32" t="s">
        <v>1839</v>
      </c>
      <c r="C120" s="32" t="s">
        <v>1840</v>
      </c>
      <c r="D120" s="33">
        <v>6432365889.4400005</v>
      </c>
      <c r="F120" s="33">
        <v>5600621961.9331312</v>
      </c>
      <c r="H120" s="33">
        <v>382047373.28013313</v>
      </c>
      <c r="I120" s="33">
        <v>449696554.22673637</v>
      </c>
      <c r="L120" s="33">
        <v>202827.6617100786</v>
      </c>
      <c r="N120" s="33">
        <v>449493726.56502628</v>
      </c>
      <c r="O120" s="33">
        <v>142719287.58349487</v>
      </c>
      <c r="P120" s="33">
        <v>306774438.98153138</v>
      </c>
      <c r="Q120" s="33">
        <v>8.7668504397596189E-12</v>
      </c>
    </row>
    <row r="121" spans="1:17" x14ac:dyDescent="0.2">
      <c r="A121" s="32">
        <v>2</v>
      </c>
      <c r="B121" s="32" t="s">
        <v>1841</v>
      </c>
      <c r="C121" s="32" t="s">
        <v>1842</v>
      </c>
      <c r="D121" s="33">
        <v>5600621961.9331312</v>
      </c>
      <c r="F121" s="33">
        <v>5600621961.9331312</v>
      </c>
      <c r="H121" s="33">
        <v>0</v>
      </c>
      <c r="I121" s="33">
        <v>0</v>
      </c>
      <c r="L121" s="33">
        <v>0</v>
      </c>
      <c r="N121" s="33">
        <v>0</v>
      </c>
      <c r="O121" s="33">
        <v>0</v>
      </c>
      <c r="P121" s="33">
        <v>0</v>
      </c>
      <c r="Q121" s="33">
        <v>0</v>
      </c>
    </row>
    <row r="122" spans="1:17" x14ac:dyDescent="0.2">
      <c r="A122" s="32">
        <v>3</v>
      </c>
      <c r="B122" s="32" t="s">
        <v>1843</v>
      </c>
      <c r="C122" s="32" t="s">
        <v>1844</v>
      </c>
      <c r="D122" s="33">
        <v>152351955.20000002</v>
      </c>
      <c r="F122" s="33">
        <v>135498603.05840206</v>
      </c>
      <c r="H122" s="33">
        <v>8347818.5386006702</v>
      </c>
      <c r="I122" s="33">
        <v>8505533.6029972769</v>
      </c>
      <c r="L122" s="33">
        <v>4676.9964247401913</v>
      </c>
      <c r="N122" s="33">
        <v>8500856.6065725368</v>
      </c>
      <c r="O122" s="33">
        <v>2761610.0696142744</v>
      </c>
      <c r="P122" s="33">
        <v>5739246.5369582623</v>
      </c>
      <c r="Q122" s="33">
        <v>9.533895433979988E-12</v>
      </c>
    </row>
    <row r="123" spans="1:17" x14ac:dyDescent="0.2">
      <c r="A123" s="32">
        <v>4</v>
      </c>
      <c r="B123" s="32" t="s">
        <v>1845</v>
      </c>
      <c r="C123" s="32" t="s">
        <v>1846</v>
      </c>
      <c r="D123" s="33">
        <v>3588357601.6400008</v>
      </c>
      <c r="F123" s="33">
        <v>3105688241.9405155</v>
      </c>
      <c r="H123" s="33">
        <v>182387851.30895427</v>
      </c>
      <c r="I123" s="33">
        <v>300281508.390531</v>
      </c>
      <c r="L123" s="33">
        <v>27459.77887819245</v>
      </c>
      <c r="N123" s="33">
        <v>300254048.61165279</v>
      </c>
      <c r="O123" s="33">
        <v>93686881.294061586</v>
      </c>
      <c r="P123" s="33">
        <v>206567167.31759122</v>
      </c>
      <c r="Q123" s="33">
        <v>0</v>
      </c>
    </row>
    <row r="124" spans="1:17" x14ac:dyDescent="0.2">
      <c r="A124" s="32">
        <v>5</v>
      </c>
      <c r="B124" s="32" t="s">
        <v>1847</v>
      </c>
      <c r="C124" s="32" t="s">
        <v>1848</v>
      </c>
      <c r="D124" s="33">
        <v>86705625.650000006</v>
      </c>
      <c r="F124" s="33">
        <v>77114147.550367326</v>
      </c>
      <c r="H124" s="33">
        <v>4750860.1268153582</v>
      </c>
      <c r="I124" s="33">
        <v>4840617.9728173101</v>
      </c>
      <c r="L124" s="33">
        <v>2661.7439903384416</v>
      </c>
      <c r="N124" s="33">
        <v>4837956.2288269717</v>
      </c>
      <c r="O124" s="33">
        <v>1571670.8628577269</v>
      </c>
      <c r="P124" s="33">
        <v>3266285.3659692449</v>
      </c>
      <c r="Q124" s="33">
        <v>0</v>
      </c>
    </row>
    <row r="125" spans="1:17" x14ac:dyDescent="0.2">
      <c r="A125" s="32">
        <v>6</v>
      </c>
      <c r="B125" s="32" t="s">
        <v>1849</v>
      </c>
      <c r="C125" s="32" t="s">
        <v>1850</v>
      </c>
      <c r="D125" s="33">
        <v>28696483.460000005</v>
      </c>
      <c r="F125" s="33">
        <v>24836524.438375533</v>
      </c>
      <c r="H125" s="33">
        <v>1458575.353805396</v>
      </c>
      <c r="I125" s="33">
        <v>2401383.6678190748</v>
      </c>
      <c r="L125" s="33">
        <v>219.59881869999941</v>
      </c>
      <c r="N125" s="33">
        <v>2401164.069000375</v>
      </c>
      <c r="O125" s="33">
        <v>749224.11251467641</v>
      </c>
      <c r="P125" s="33">
        <v>1651939.9564856987</v>
      </c>
      <c r="Q125" s="33">
        <v>0</v>
      </c>
    </row>
    <row r="126" spans="1:17" x14ac:dyDescent="0.2">
      <c r="A126" s="32">
        <v>7</v>
      </c>
      <c r="B126" s="32" t="s">
        <v>1851</v>
      </c>
      <c r="C126" s="32" t="s">
        <v>1852</v>
      </c>
      <c r="D126" s="33">
        <v>531291429.65999997</v>
      </c>
      <c r="F126" s="33">
        <v>459827511.44554573</v>
      </c>
      <c r="H126" s="33">
        <v>27004304.763344299</v>
      </c>
      <c r="I126" s="33">
        <v>44459613.451109976</v>
      </c>
      <c r="L126" s="33">
        <v>4065.6887629244661</v>
      </c>
      <c r="N126" s="33">
        <v>44455547.76234705</v>
      </c>
      <c r="O126" s="33">
        <v>13871258.840077652</v>
      </c>
      <c r="P126" s="33">
        <v>30584288.9222694</v>
      </c>
      <c r="Q126" s="33">
        <v>0</v>
      </c>
    </row>
    <row r="127" spans="1:17" x14ac:dyDescent="0.2">
      <c r="A127" s="32">
        <v>8</v>
      </c>
      <c r="B127" s="32" t="s">
        <v>1853</v>
      </c>
      <c r="C127" s="32" t="s">
        <v>1854</v>
      </c>
      <c r="D127" s="33">
        <v>615216199.21999991</v>
      </c>
      <c r="F127" s="33">
        <v>528497002.23105335</v>
      </c>
      <c r="H127" s="33">
        <v>32231464.425849125</v>
      </c>
      <c r="I127" s="33">
        <v>54487732.563097522</v>
      </c>
      <c r="L127" s="33">
        <v>4672.8485567452108</v>
      </c>
      <c r="N127" s="33">
        <v>54483059.71454078</v>
      </c>
      <c r="O127" s="33">
        <v>17000096.98991733</v>
      </c>
      <c r="P127" s="33">
        <v>37482962.724623449</v>
      </c>
      <c r="Q127" s="33">
        <v>0</v>
      </c>
    </row>
    <row r="128" spans="1:17" x14ac:dyDescent="0.2">
      <c r="A128" s="32">
        <v>9</v>
      </c>
      <c r="B128" s="32" t="s">
        <v>1855</v>
      </c>
      <c r="C128" s="32" t="s">
        <v>1856</v>
      </c>
      <c r="D128" s="33">
        <v>44499355.719999999</v>
      </c>
      <c r="F128" s="33">
        <v>0</v>
      </c>
      <c r="H128" s="33">
        <v>44494822.285232827</v>
      </c>
      <c r="I128" s="33">
        <v>4533.4347671684909</v>
      </c>
      <c r="L128" s="33">
        <v>0</v>
      </c>
      <c r="N128" s="33">
        <v>4533.4347671684909</v>
      </c>
      <c r="O128" s="33">
        <v>1414.5466708940914</v>
      </c>
      <c r="P128" s="33">
        <v>3118.8880962743997</v>
      </c>
      <c r="Q128" s="33">
        <v>0</v>
      </c>
    </row>
    <row r="129" spans="1:17" x14ac:dyDescent="0.2">
      <c r="A129" s="32">
        <v>10</v>
      </c>
      <c r="B129" s="32" t="s">
        <v>1857</v>
      </c>
      <c r="C129" s="32" t="s">
        <v>1858</v>
      </c>
      <c r="D129" s="33">
        <v>52729785.129999995</v>
      </c>
      <c r="F129" s="33">
        <v>7504807.6519980747</v>
      </c>
      <c r="H129" s="33">
        <v>44494822.285232827</v>
      </c>
      <c r="I129" s="33">
        <v>730155.19276909239</v>
      </c>
      <c r="L129" s="33">
        <v>66.355777719166497</v>
      </c>
      <c r="N129" s="33">
        <v>730088.83699137322</v>
      </c>
      <c r="O129" s="33">
        <v>227806.24115346465</v>
      </c>
      <c r="P129" s="33">
        <v>502282.59583790862</v>
      </c>
      <c r="Q129" s="33">
        <v>0</v>
      </c>
    </row>
    <row r="130" spans="1:17" x14ac:dyDescent="0.2">
      <c r="A130" s="32">
        <v>11</v>
      </c>
      <c r="B130" s="32" t="s">
        <v>1859</v>
      </c>
      <c r="C130" s="32" t="s">
        <v>1860</v>
      </c>
      <c r="D130" s="33">
        <v>1433759656.6499999</v>
      </c>
      <c r="F130" s="33">
        <v>1348948019.5461249</v>
      </c>
      <c r="H130" s="33">
        <v>80327605.579999998</v>
      </c>
      <c r="I130" s="33">
        <v>4484031.5238750307</v>
      </c>
      <c r="L130" s="33">
        <v>162042.68</v>
      </c>
      <c r="N130" s="33">
        <v>4321988.843875031</v>
      </c>
      <c r="O130" s="33">
        <v>3714063.0443994557</v>
      </c>
      <c r="P130" s="33">
        <v>607925.79947557533</v>
      </c>
      <c r="Q130" s="33">
        <v>0</v>
      </c>
    </row>
    <row r="131" spans="1:17" x14ac:dyDescent="0.2">
      <c r="A131" s="32">
        <v>12</v>
      </c>
      <c r="B131" s="32" t="s">
        <v>1861</v>
      </c>
      <c r="C131" s="32" t="s">
        <v>1862</v>
      </c>
      <c r="D131" s="33">
        <v>1353270008.3899999</v>
      </c>
      <c r="F131" s="33">
        <v>1348948019.5461249</v>
      </c>
      <c r="H131" s="33">
        <v>0</v>
      </c>
      <c r="I131" s="33">
        <v>4321988.843875031</v>
      </c>
      <c r="L131" s="33">
        <v>0</v>
      </c>
      <c r="N131" s="33">
        <v>4321988.843875031</v>
      </c>
      <c r="O131" s="33">
        <v>3714063.0443994557</v>
      </c>
      <c r="P131" s="33">
        <v>607925.79947557533</v>
      </c>
      <c r="Q131" s="33">
        <v>0</v>
      </c>
    </row>
    <row r="132" spans="1:17" x14ac:dyDescent="0.2">
      <c r="A132" s="32">
        <v>13</v>
      </c>
      <c r="B132" s="32" t="s">
        <v>1863</v>
      </c>
      <c r="C132" s="32" t="s">
        <v>1864</v>
      </c>
      <c r="D132" s="33">
        <v>140094551.55999997</v>
      </c>
      <c r="F132" s="33">
        <v>124597127.79894324</v>
      </c>
      <c r="H132" s="33">
        <v>7676198.7933418741</v>
      </c>
      <c r="I132" s="33">
        <v>7821224.9677148508</v>
      </c>
      <c r="L132" s="33">
        <v>4300.7109157972936</v>
      </c>
      <c r="N132" s="33">
        <v>7816924.2567990534</v>
      </c>
      <c r="O132" s="33">
        <v>2539426.0531694978</v>
      </c>
      <c r="P132" s="33">
        <v>5277498.2036295561</v>
      </c>
      <c r="Q132" s="33">
        <v>8.7668504397596189E-12</v>
      </c>
    </row>
    <row r="133" spans="1:17" x14ac:dyDescent="0.2">
      <c r="A133" s="32">
        <v>14</v>
      </c>
      <c r="B133" s="32" t="s">
        <v>1865</v>
      </c>
      <c r="C133" s="32" t="s">
        <v>2456</v>
      </c>
      <c r="D133" s="33">
        <v>55918.829999999994</v>
      </c>
      <c r="F133" s="33">
        <v>55918.829999999994</v>
      </c>
      <c r="H133" s="33">
        <v>0</v>
      </c>
      <c r="I133" s="33">
        <v>0</v>
      </c>
      <c r="L133" s="33">
        <v>0</v>
      </c>
      <c r="N133" s="33">
        <v>0</v>
      </c>
      <c r="O133" s="33">
        <v>0</v>
      </c>
      <c r="P133" s="33">
        <v>0</v>
      </c>
      <c r="Q133" s="33">
        <v>0</v>
      </c>
    </row>
    <row r="134" spans="1:17" x14ac:dyDescent="0.2">
      <c r="A134" s="32">
        <v>15</v>
      </c>
      <c r="B134" s="32" t="s">
        <v>600</v>
      </c>
      <c r="C134" s="32" t="s">
        <v>2457</v>
      </c>
      <c r="D134" s="33">
        <v>60103758.670000002</v>
      </c>
      <c r="F134" s="33">
        <v>52331978.0913826</v>
      </c>
      <c r="H134" s="33">
        <v>3569834.7262605163</v>
      </c>
      <c r="I134" s="33">
        <v>4201945.8523568874</v>
      </c>
      <c r="L134" s="33">
        <v>1895.2132140114129</v>
      </c>
      <c r="N134" s="33">
        <v>4200050.6391428756</v>
      </c>
      <c r="O134" s="33">
        <v>1333563.072423341</v>
      </c>
      <c r="P134" s="33">
        <v>2866487.5667195348</v>
      </c>
      <c r="Q134" s="33">
        <v>8.1917084970607769E-14</v>
      </c>
    </row>
    <row r="135" spans="1:17" x14ac:dyDescent="0.2">
      <c r="A135" s="32">
        <v>16</v>
      </c>
      <c r="B135" s="32" t="s">
        <v>601</v>
      </c>
      <c r="C135" s="32" t="s">
        <v>602</v>
      </c>
      <c r="D135" s="33">
        <v>4148345514.7600012</v>
      </c>
      <c r="F135" s="33">
        <v>3590352277.8244371</v>
      </c>
      <c r="H135" s="33">
        <v>210850731.42610395</v>
      </c>
      <c r="I135" s="33">
        <v>347142505.50946003</v>
      </c>
      <c r="L135" s="33">
        <v>31745.066459816921</v>
      </c>
      <c r="N135" s="33">
        <v>347110760.4430002</v>
      </c>
      <c r="O135" s="33">
        <v>108307364.24665391</v>
      </c>
      <c r="P135" s="33">
        <v>238803396.19634631</v>
      </c>
      <c r="Q135" s="33">
        <v>0</v>
      </c>
    </row>
    <row r="136" spans="1:17" x14ac:dyDescent="0.2">
      <c r="A136" s="32">
        <v>17</v>
      </c>
      <c r="B136" s="32" t="s">
        <v>1201</v>
      </c>
      <c r="C136" s="32" t="s">
        <v>1202</v>
      </c>
      <c r="D136" s="33">
        <v>4189773097.6700006</v>
      </c>
      <c r="F136" s="33">
        <v>3590352277.8244367</v>
      </c>
      <c r="H136" s="33">
        <v>217317282.19570932</v>
      </c>
      <c r="I136" s="33">
        <v>382103537.64985466</v>
      </c>
      <c r="L136" s="33">
        <v>31745.066459816917</v>
      </c>
      <c r="N136" s="33">
        <v>382071792.58339483</v>
      </c>
      <c r="O136" s="33">
        <v>119216093.31525475</v>
      </c>
      <c r="P136" s="33">
        <v>262855699.26814008</v>
      </c>
      <c r="Q136" s="33">
        <v>0</v>
      </c>
    </row>
    <row r="137" spans="1:17" x14ac:dyDescent="0.2">
      <c r="A137" s="32">
        <v>18</v>
      </c>
      <c r="B137" s="32" t="s">
        <v>1203</v>
      </c>
      <c r="C137" s="32" t="s">
        <v>1204</v>
      </c>
      <c r="D137" s="33">
        <v>667945984.35000002</v>
      </c>
      <c r="F137" s="33">
        <v>536001809.88305146</v>
      </c>
      <c r="H137" s="33">
        <v>76726286.711081952</v>
      </c>
      <c r="I137" s="33">
        <v>55217887.755866617</v>
      </c>
      <c r="L137" s="33">
        <v>4739.2043344643771</v>
      </c>
      <c r="N137" s="33">
        <v>55213148.551532149</v>
      </c>
      <c r="O137" s="33">
        <v>17227903.231070798</v>
      </c>
      <c r="P137" s="33">
        <v>37985245.320461355</v>
      </c>
      <c r="Q137" s="33">
        <v>0</v>
      </c>
    </row>
    <row r="138" spans="1:17" x14ac:dyDescent="0.2">
      <c r="A138" s="32">
        <v>19</v>
      </c>
      <c r="B138" s="32" t="s">
        <v>1205</v>
      </c>
      <c r="C138" s="32" t="s">
        <v>1206</v>
      </c>
      <c r="D138" s="33">
        <v>33590544.902089998</v>
      </c>
      <c r="F138" s="33">
        <v>29111109.374611676</v>
      </c>
      <c r="H138" s="33">
        <v>1980950.5748781229</v>
      </c>
      <c r="I138" s="33">
        <v>2498484.9526002025</v>
      </c>
      <c r="L138" s="33">
        <v>894.65912688039043</v>
      </c>
      <c r="N138" s="33">
        <v>2497590.2934733219</v>
      </c>
      <c r="O138" s="33">
        <v>789353.44789765088</v>
      </c>
      <c r="P138" s="33">
        <v>1708236.8455756712</v>
      </c>
      <c r="Q138" s="33">
        <v>0</v>
      </c>
    </row>
    <row r="139" spans="1:17" x14ac:dyDescent="0.2">
      <c r="A139" s="32">
        <v>20</v>
      </c>
      <c r="B139" s="32" t="s">
        <v>1207</v>
      </c>
      <c r="C139" s="32" t="s">
        <v>2458</v>
      </c>
      <c r="D139" s="33">
        <v>7836209.5800000001</v>
      </c>
      <c r="F139" s="33">
        <v>6889472.5456418619</v>
      </c>
      <c r="H139" s="33">
        <v>449041.99706130149</v>
      </c>
      <c r="I139" s="33">
        <v>497695.03729683679</v>
      </c>
      <c r="L139" s="33">
        <v>244.12451392463612</v>
      </c>
      <c r="N139" s="33">
        <v>497450.91278291214</v>
      </c>
      <c r="O139" s="33">
        <v>159406.70776084487</v>
      </c>
      <c r="P139" s="33">
        <v>338044.2050220673</v>
      </c>
      <c r="Q139" s="33">
        <v>2.2863700491011242E-13</v>
      </c>
    </row>
    <row r="140" spans="1:17" x14ac:dyDescent="0.2">
      <c r="A140" s="32">
        <v>21</v>
      </c>
      <c r="B140" s="32" t="s">
        <v>1208</v>
      </c>
      <c r="C140" s="32" t="s">
        <v>2459</v>
      </c>
      <c r="D140" s="33">
        <v>1320135670.366627</v>
      </c>
      <c r="F140" s="33">
        <v>1320135670.366627</v>
      </c>
      <c r="H140" s="33">
        <v>0</v>
      </c>
      <c r="I140" s="33">
        <v>0</v>
      </c>
      <c r="L140" s="33">
        <v>0</v>
      </c>
      <c r="N140" s="33">
        <v>0</v>
      </c>
      <c r="O140" s="33">
        <v>0</v>
      </c>
      <c r="P140" s="33">
        <v>0</v>
      </c>
      <c r="Q140" s="33">
        <v>0</v>
      </c>
    </row>
    <row r="141" spans="1:17" x14ac:dyDescent="0.2">
      <c r="A141" s="32">
        <v>22</v>
      </c>
      <c r="B141" s="32" t="s">
        <v>1209</v>
      </c>
      <c r="C141" s="32" t="s">
        <v>1210</v>
      </c>
      <c r="D141" s="33">
        <v>22217263.145792887</v>
      </c>
      <c r="F141" s="33">
        <v>0</v>
      </c>
      <c r="H141" s="33">
        <v>0</v>
      </c>
      <c r="I141" s="33">
        <v>22217263.145792887</v>
      </c>
      <c r="L141" s="33">
        <v>0</v>
      </c>
      <c r="N141" s="33">
        <v>22217263.145792887</v>
      </c>
      <c r="O141" s="33">
        <v>6932349.8039188348</v>
      </c>
      <c r="P141" s="33">
        <v>15284913.34187405</v>
      </c>
      <c r="Q141" s="33">
        <v>0</v>
      </c>
    </row>
    <row r="142" spans="1:17" x14ac:dyDescent="0.2">
      <c r="A142" s="32">
        <v>23</v>
      </c>
      <c r="B142" s="32" t="s">
        <v>1211</v>
      </c>
      <c r="C142" s="32" t="s">
        <v>1212</v>
      </c>
      <c r="D142" s="33">
        <v>3730581.5202978086</v>
      </c>
      <c r="F142" s="33">
        <v>0</v>
      </c>
      <c r="H142" s="33">
        <v>0</v>
      </c>
      <c r="I142" s="33">
        <v>3730581.5202978086</v>
      </c>
      <c r="L142" s="33">
        <v>0</v>
      </c>
      <c r="N142" s="33">
        <v>3730581.5202978086</v>
      </c>
      <c r="O142" s="33">
        <v>1164036.0876599227</v>
      </c>
      <c r="P142" s="33">
        <v>2566545.4326378861</v>
      </c>
      <c r="Q142" s="33">
        <v>0</v>
      </c>
    </row>
    <row r="143" spans="1:17" x14ac:dyDescent="0.2">
      <c r="A143" s="32">
        <v>24</v>
      </c>
      <c r="B143" s="32" t="s">
        <v>1213</v>
      </c>
      <c r="C143" s="32" t="s">
        <v>2221</v>
      </c>
      <c r="D143" s="33">
        <v>971424.20798680035</v>
      </c>
      <c r="F143" s="33">
        <v>0</v>
      </c>
      <c r="H143" s="33">
        <v>0</v>
      </c>
      <c r="I143" s="33">
        <v>971424.20798680035</v>
      </c>
      <c r="L143" s="33">
        <v>0</v>
      </c>
      <c r="N143" s="33">
        <v>971424.20798680035</v>
      </c>
      <c r="O143" s="33">
        <v>303109.00013058179</v>
      </c>
      <c r="P143" s="33">
        <v>668315.20785621856</v>
      </c>
      <c r="Q143" s="33">
        <v>0</v>
      </c>
    </row>
    <row r="144" spans="1:17" x14ac:dyDescent="0.2">
      <c r="A144" s="32">
        <v>25</v>
      </c>
      <c r="B144" s="32" t="s">
        <v>1214</v>
      </c>
      <c r="C144" s="32" t="s">
        <v>2222</v>
      </c>
      <c r="D144" s="33">
        <v>3614550.9721758543</v>
      </c>
      <c r="F144" s="33">
        <v>0</v>
      </c>
      <c r="H144" s="33">
        <v>0</v>
      </c>
      <c r="I144" s="33">
        <v>3614550.9721758543</v>
      </c>
      <c r="L144" s="33">
        <v>0</v>
      </c>
      <c r="N144" s="33">
        <v>3614550.9721758543</v>
      </c>
      <c r="O144" s="33">
        <v>1127831.612687309</v>
      </c>
      <c r="P144" s="33">
        <v>2486719.3594885455</v>
      </c>
      <c r="Q144" s="33">
        <v>0</v>
      </c>
    </row>
    <row r="145" spans="1:22" x14ac:dyDescent="0.2">
      <c r="A145" s="32">
        <v>26</v>
      </c>
      <c r="B145" s="32" t="s">
        <v>1215</v>
      </c>
      <c r="C145" s="32" t="s">
        <v>1216</v>
      </c>
      <c r="D145" s="33">
        <v>615216199.21999991</v>
      </c>
      <c r="F145" s="33">
        <v>528497002.23105335</v>
      </c>
      <c r="H145" s="33">
        <v>32231464.425849125</v>
      </c>
      <c r="I145" s="33">
        <v>54487732.563097522</v>
      </c>
      <c r="L145" s="33">
        <v>4672.8485567452108</v>
      </c>
      <c r="N145" s="33">
        <v>54483059.71454078</v>
      </c>
      <c r="O145" s="33">
        <v>17000096.98991733</v>
      </c>
      <c r="P145" s="33">
        <v>37482962.724623449</v>
      </c>
      <c r="Q145" s="33">
        <v>0</v>
      </c>
    </row>
    <row r="146" spans="1:22" x14ac:dyDescent="0.2">
      <c r="A146" s="32">
        <v>27</v>
      </c>
      <c r="B146" s="32" t="s">
        <v>1758</v>
      </c>
      <c r="C146" s="32" t="s">
        <v>1759</v>
      </c>
      <c r="D146" s="33">
        <v>52729785.129999995</v>
      </c>
      <c r="F146" s="33">
        <v>7504807.6519980747</v>
      </c>
      <c r="H146" s="33">
        <v>44494822.285232827</v>
      </c>
      <c r="I146" s="33">
        <v>730155.19276909239</v>
      </c>
      <c r="L146" s="33">
        <v>66.355777719166497</v>
      </c>
      <c r="N146" s="33">
        <v>730088.83699137322</v>
      </c>
      <c r="O146" s="33">
        <v>227806.24115346465</v>
      </c>
      <c r="P146" s="33">
        <v>502282.59583790862</v>
      </c>
      <c r="Q146" s="33">
        <v>0</v>
      </c>
    </row>
    <row r="147" spans="1:22" x14ac:dyDescent="0.2">
      <c r="A147" s="32">
        <v>28</v>
      </c>
      <c r="B147" s="32" t="s">
        <v>1760</v>
      </c>
      <c r="C147" s="32" t="s">
        <v>2460</v>
      </c>
      <c r="D147" s="33">
        <v>580724064.02999985</v>
      </c>
      <c r="F147" s="33">
        <v>537135304.86999989</v>
      </c>
      <c r="H147" s="33">
        <v>43493881.739999995</v>
      </c>
      <c r="I147" s="33">
        <v>94877.42</v>
      </c>
      <c r="L147" s="33">
        <v>94877.42</v>
      </c>
      <c r="N147" s="33">
        <v>0</v>
      </c>
      <c r="O147" s="33">
        <v>0</v>
      </c>
      <c r="P147" s="33">
        <v>0</v>
      </c>
      <c r="Q147" s="33">
        <v>0</v>
      </c>
    </row>
    <row r="148" spans="1:22" x14ac:dyDescent="0.2">
      <c r="A148" s="32">
        <v>29</v>
      </c>
      <c r="B148" s="32" t="s">
        <v>1761</v>
      </c>
      <c r="C148" s="32" t="s">
        <v>1762</v>
      </c>
      <c r="D148" s="33">
        <v>6492570022.5200014</v>
      </c>
      <c r="F148" s="33">
        <v>5653048566.0583582</v>
      </c>
      <c r="H148" s="33">
        <v>385619848.42484289</v>
      </c>
      <c r="I148" s="33">
        <v>453901608.03680044</v>
      </c>
      <c r="L148" s="33">
        <v>204724.27671333775</v>
      </c>
      <c r="N148" s="33">
        <v>453696883.76008713</v>
      </c>
      <c r="O148" s="33">
        <v>144053837.02218154</v>
      </c>
      <c r="P148" s="33">
        <v>309643046.73790562</v>
      </c>
      <c r="Q148" s="33">
        <v>8.8488281144771059E-12</v>
      </c>
    </row>
    <row r="149" spans="1:22" x14ac:dyDescent="0.2">
      <c r="A149" s="32">
        <v>30</v>
      </c>
      <c r="B149" s="32" t="s">
        <v>1763</v>
      </c>
      <c r="C149" s="32" t="s">
        <v>1764</v>
      </c>
      <c r="D149" s="33">
        <v>5653048566.0583582</v>
      </c>
      <c r="F149" s="33">
        <v>5653048566.0583582</v>
      </c>
      <c r="H149" s="33">
        <v>0</v>
      </c>
      <c r="I149" s="33">
        <v>0</v>
      </c>
      <c r="L149" s="33">
        <v>0</v>
      </c>
      <c r="N149" s="33">
        <v>0</v>
      </c>
      <c r="O149" s="33">
        <v>0</v>
      </c>
      <c r="P149" s="33">
        <v>0</v>
      </c>
      <c r="Q149" s="33">
        <v>0</v>
      </c>
    </row>
    <row r="150" spans="1:22" x14ac:dyDescent="0.2">
      <c r="A150" s="32">
        <v>31</v>
      </c>
      <c r="B150" s="32" t="s">
        <v>1765</v>
      </c>
      <c r="C150" s="32" t="s">
        <v>1766</v>
      </c>
      <c r="D150" s="33">
        <v>6106745449.8184452</v>
      </c>
      <c r="F150" s="33">
        <v>5653048566.0583582</v>
      </c>
      <c r="H150" s="33">
        <v>0</v>
      </c>
      <c r="I150" s="33">
        <v>453696883.76008713</v>
      </c>
      <c r="L150" s="33">
        <v>0</v>
      </c>
      <c r="N150" s="33">
        <v>453696883.76008713</v>
      </c>
      <c r="O150" s="33">
        <v>144053837.02218154</v>
      </c>
      <c r="P150" s="33">
        <v>309643046.73790562</v>
      </c>
      <c r="Q150" s="33">
        <v>8.8488281144771059E-12</v>
      </c>
    </row>
    <row r="151" spans="1:22" x14ac:dyDescent="0.2">
      <c r="A151" s="32">
        <v>32</v>
      </c>
      <c r="B151" s="32" t="s">
        <v>1767</v>
      </c>
      <c r="C151" s="32" t="s">
        <v>1768</v>
      </c>
      <c r="D151" s="33">
        <v>385619848.42484289</v>
      </c>
      <c r="F151" s="33">
        <v>0</v>
      </c>
      <c r="H151" s="33">
        <v>385619848.42484289</v>
      </c>
      <c r="I151" s="33">
        <v>0</v>
      </c>
      <c r="L151" s="33">
        <v>0</v>
      </c>
      <c r="N151" s="33">
        <v>0</v>
      </c>
      <c r="O151" s="33">
        <v>0</v>
      </c>
      <c r="P151" s="33">
        <v>0</v>
      </c>
      <c r="Q151" s="33">
        <v>0</v>
      </c>
    </row>
    <row r="152" spans="1:22" x14ac:dyDescent="0.2">
      <c r="A152" s="32">
        <v>33</v>
      </c>
      <c r="B152" s="32" t="s">
        <v>1769</v>
      </c>
      <c r="C152" s="32" t="s">
        <v>1770</v>
      </c>
      <c r="D152" s="33">
        <v>3627633482.6900005</v>
      </c>
      <c r="F152" s="33">
        <v>3105688241.9405155</v>
      </c>
      <c r="H152" s="33">
        <v>188853334.58250955</v>
      </c>
      <c r="I152" s="33">
        <v>333091906.16697574</v>
      </c>
      <c r="L152" s="33">
        <v>27459.77887819245</v>
      </c>
      <c r="N152" s="33">
        <v>333064446.38809752</v>
      </c>
      <c r="O152" s="33">
        <v>103924557.87463117</v>
      </c>
      <c r="P152" s="33">
        <v>229139888.51346633</v>
      </c>
      <c r="Q152" s="33">
        <v>0</v>
      </c>
    </row>
    <row r="153" spans="1:22" x14ac:dyDescent="0.2">
      <c r="A153" s="32">
        <v>34</v>
      </c>
      <c r="B153" s="32" t="s">
        <v>1771</v>
      </c>
      <c r="C153" s="32" t="s">
        <v>1772</v>
      </c>
      <c r="D153" s="33">
        <v>28756470.000000004</v>
      </c>
      <c r="F153" s="33">
        <v>24836524.438375533</v>
      </c>
      <c r="H153" s="33">
        <v>1458885.2275194228</v>
      </c>
      <c r="I153" s="33">
        <v>2461060.3341050483</v>
      </c>
      <c r="L153" s="33">
        <v>219.59881869999941</v>
      </c>
      <c r="N153" s="33">
        <v>2460840.7352863485</v>
      </c>
      <c r="O153" s="33">
        <v>767844.74652847636</v>
      </c>
      <c r="P153" s="33">
        <v>1692995.988757872</v>
      </c>
      <c r="Q153" s="33">
        <v>0</v>
      </c>
    </row>
    <row r="154" spans="1:22" x14ac:dyDescent="0.2">
      <c r="A154" s="32">
        <v>35</v>
      </c>
      <c r="B154" s="32" t="s">
        <v>1773</v>
      </c>
      <c r="C154" s="32" t="s">
        <v>1774</v>
      </c>
      <c r="D154" s="33">
        <v>533383144.98000002</v>
      </c>
      <c r="F154" s="33">
        <v>459827511.44554573</v>
      </c>
      <c r="H154" s="33">
        <v>27005062.385680355</v>
      </c>
      <c r="I154" s="33">
        <v>46550571.148773916</v>
      </c>
      <c r="L154" s="33">
        <v>4065.6887629244661</v>
      </c>
      <c r="N154" s="33">
        <v>46546505.460010991</v>
      </c>
      <c r="O154" s="33">
        <v>14523690.694095101</v>
      </c>
      <c r="P154" s="33">
        <v>32022814.765915893</v>
      </c>
      <c r="Q154" s="33">
        <v>0</v>
      </c>
      <c r="V154" s="32">
        <v>4</v>
      </c>
    </row>
    <row r="155" spans="1:22" x14ac:dyDescent="0.2">
      <c r="A155" s="32">
        <v>36</v>
      </c>
      <c r="B155" s="32" t="s">
        <v>1129</v>
      </c>
      <c r="C155" s="32" t="s">
        <v>2461</v>
      </c>
      <c r="D155" s="33">
        <v>158338784.04999998</v>
      </c>
      <c r="F155" s="33">
        <v>146452780.45999998</v>
      </c>
      <c r="H155" s="33">
        <v>8338352.3099999996</v>
      </c>
      <c r="I155" s="33">
        <v>3547651.28</v>
      </c>
      <c r="L155" s="33">
        <v>63681.279999999999</v>
      </c>
      <c r="N155" s="33">
        <v>3483970</v>
      </c>
      <c r="O155" s="33">
        <v>3483970</v>
      </c>
      <c r="P155" s="33">
        <v>0</v>
      </c>
      <c r="Q155" s="33">
        <v>0</v>
      </c>
    </row>
    <row r="156" spans="1:22" x14ac:dyDescent="0.2">
      <c r="A156" s="32">
        <v>37</v>
      </c>
      <c r="B156" s="32" t="s">
        <v>1130</v>
      </c>
      <c r="C156" s="32" t="s">
        <v>2462</v>
      </c>
      <c r="D156" s="33">
        <v>144105048.07999998</v>
      </c>
      <c r="F156" s="33">
        <v>141341084.22999999</v>
      </c>
      <c r="H156" s="33">
        <v>2763963.85</v>
      </c>
      <c r="I156" s="33">
        <v>0</v>
      </c>
      <c r="L156" s="33">
        <v>0</v>
      </c>
      <c r="N156" s="33">
        <v>0</v>
      </c>
      <c r="O156" s="33">
        <v>0</v>
      </c>
      <c r="P156" s="33">
        <v>0</v>
      </c>
      <c r="Q156" s="33">
        <v>0</v>
      </c>
    </row>
    <row r="157" spans="1:22" x14ac:dyDescent="0.2">
      <c r="A157" s="32">
        <v>38</v>
      </c>
      <c r="B157" s="32" t="s">
        <v>1131</v>
      </c>
      <c r="C157" s="32" t="s">
        <v>2463</v>
      </c>
      <c r="D157" s="33">
        <v>83014243.350000024</v>
      </c>
      <c r="F157" s="33">
        <v>80975589.62000002</v>
      </c>
      <c r="H157" s="33">
        <v>2038653.7300000002</v>
      </c>
      <c r="I157" s="33">
        <v>0</v>
      </c>
      <c r="L157" s="33">
        <v>0</v>
      </c>
      <c r="N157" s="33">
        <v>0</v>
      </c>
      <c r="O157" s="33">
        <v>0</v>
      </c>
      <c r="P157" s="33">
        <v>0</v>
      </c>
      <c r="Q157" s="33">
        <v>0</v>
      </c>
    </row>
    <row r="158" spans="1:22" x14ac:dyDescent="0.2">
      <c r="A158" s="32">
        <v>39</v>
      </c>
      <c r="B158" s="32" t="s">
        <v>1132</v>
      </c>
      <c r="C158" s="32" t="s">
        <v>2464</v>
      </c>
      <c r="D158" s="33">
        <v>70922417.270000011</v>
      </c>
      <c r="F158" s="33">
        <v>66969752.690000013</v>
      </c>
      <c r="H158" s="33">
        <v>3637511.5</v>
      </c>
      <c r="I158" s="33">
        <v>315153.08</v>
      </c>
      <c r="L158" s="33">
        <v>111.07999999999993</v>
      </c>
      <c r="N158" s="33">
        <v>315042</v>
      </c>
      <c r="O158" s="33">
        <v>66911</v>
      </c>
      <c r="P158" s="33">
        <v>248131</v>
      </c>
      <c r="Q158" s="33">
        <v>0</v>
      </c>
    </row>
    <row r="159" spans="1:22" x14ac:dyDescent="0.2">
      <c r="A159" s="32">
        <v>40</v>
      </c>
      <c r="B159" s="32" t="s">
        <v>1133</v>
      </c>
      <c r="C159" s="32" t="s">
        <v>2465</v>
      </c>
      <c r="D159" s="33">
        <v>18240915.879999999</v>
      </c>
      <c r="F159" s="33">
        <v>17384575.219999999</v>
      </c>
      <c r="H159" s="33">
        <v>856340.66</v>
      </c>
      <c r="I159" s="33">
        <v>0</v>
      </c>
      <c r="L159" s="33">
        <v>0</v>
      </c>
      <c r="N159" s="33">
        <v>0</v>
      </c>
      <c r="O159" s="33">
        <v>0</v>
      </c>
      <c r="P159" s="33">
        <v>0</v>
      </c>
      <c r="Q159" s="33">
        <v>0</v>
      </c>
    </row>
    <row r="160" spans="1:22" x14ac:dyDescent="0.2">
      <c r="A160" s="32">
        <v>41</v>
      </c>
      <c r="B160" s="32" t="s">
        <v>1134</v>
      </c>
      <c r="C160" s="32" t="s">
        <v>2466</v>
      </c>
      <c r="D160" s="33">
        <v>287943911.44</v>
      </c>
      <c r="F160" s="33">
        <v>273394360.25612497</v>
      </c>
      <c r="H160" s="33">
        <v>14023456.059999999</v>
      </c>
      <c r="I160" s="33">
        <v>526095.12387503078</v>
      </c>
      <c r="L160" s="33">
        <v>3118.28</v>
      </c>
      <c r="N160" s="33">
        <v>522976.84387503075</v>
      </c>
      <c r="O160" s="33">
        <v>163182.04439945545</v>
      </c>
      <c r="P160" s="33">
        <v>359794.79947557527</v>
      </c>
      <c r="Q160" s="33">
        <v>0</v>
      </c>
    </row>
    <row r="161" spans="1:17" x14ac:dyDescent="0.2">
      <c r="A161" s="32">
        <v>42</v>
      </c>
      <c r="B161" s="32" t="s">
        <v>1135</v>
      </c>
      <c r="C161" s="32" t="s">
        <v>2467</v>
      </c>
      <c r="D161" s="33">
        <v>24652741.260000002</v>
      </c>
      <c r="F161" s="33">
        <v>23324157.129067238</v>
      </c>
      <c r="H161" s="33">
        <v>1297908.5123283423</v>
      </c>
      <c r="I161" s="33">
        <v>30675.618604420913</v>
      </c>
      <c r="L161" s="33">
        <v>230.89175293650146</v>
      </c>
      <c r="N161" s="33">
        <v>30444.726851484411</v>
      </c>
      <c r="O161" s="33">
        <v>16294.360850090248</v>
      </c>
      <c r="P161" s="33">
        <v>14150.366001394163</v>
      </c>
      <c r="Q161" s="33">
        <v>0</v>
      </c>
    </row>
    <row r="162" spans="1:17" x14ac:dyDescent="0.2">
      <c r="A162" s="32">
        <v>43</v>
      </c>
      <c r="B162" s="32" t="s">
        <v>1136</v>
      </c>
      <c r="C162" s="32" t="s">
        <v>2468</v>
      </c>
      <c r="D162" s="33">
        <v>13821435.550000001</v>
      </c>
      <c r="F162" s="33">
        <v>13812947.691019921</v>
      </c>
      <c r="H162" s="33">
        <v>8486.6947844920214</v>
      </c>
      <c r="I162" s="33">
        <v>1.1641955875704959</v>
      </c>
      <c r="L162" s="33">
        <v>1.1641955875704959</v>
      </c>
      <c r="N162" s="33">
        <v>0</v>
      </c>
      <c r="O162" s="33">
        <v>0</v>
      </c>
      <c r="P162" s="33">
        <v>0</v>
      </c>
      <c r="Q162" s="33">
        <v>0</v>
      </c>
    </row>
    <row r="163" spans="1:17" x14ac:dyDescent="0.2">
      <c r="A163" s="32">
        <v>44</v>
      </c>
      <c r="B163" s="32" t="s">
        <v>1137</v>
      </c>
      <c r="C163" s="32" t="s">
        <v>1138</v>
      </c>
      <c r="D163" s="33">
        <v>2101705641</v>
      </c>
      <c r="F163" s="33">
        <v>1884949829.4291763</v>
      </c>
      <c r="H163" s="33">
        <v>157053892.29108196</v>
      </c>
      <c r="I163" s="33">
        <v>59701919.279741652</v>
      </c>
      <c r="L163" s="33">
        <v>166781.88433446438</v>
      </c>
      <c r="N163" s="33">
        <v>59535137.395407185</v>
      </c>
      <c r="O163" s="33">
        <v>20941966.275470253</v>
      </c>
      <c r="P163" s="33">
        <v>38593171.119936928</v>
      </c>
      <c r="Q163" s="33">
        <v>0</v>
      </c>
    </row>
    <row r="164" spans="1:17" x14ac:dyDescent="0.2">
      <c r="F164" s="33"/>
    </row>
    <row r="165" spans="1:17" x14ac:dyDescent="0.2">
      <c r="B165" s="32" t="s">
        <v>1139</v>
      </c>
      <c r="F165" s="33"/>
    </row>
    <row r="166" spans="1:17" x14ac:dyDescent="0.2">
      <c r="B166" s="32" t="s">
        <v>1670</v>
      </c>
      <c r="F166" s="33"/>
    </row>
    <row r="167" spans="1:17" x14ac:dyDescent="0.2">
      <c r="A167" s="32">
        <v>1</v>
      </c>
      <c r="B167" s="32" t="s">
        <v>1140</v>
      </c>
      <c r="C167" s="32" t="s">
        <v>2469</v>
      </c>
      <c r="D167" s="33">
        <v>23966.440000000002</v>
      </c>
      <c r="F167" s="33">
        <v>22671.514794681963</v>
      </c>
      <c r="H167" s="33">
        <v>1294.7475932472189</v>
      </c>
      <c r="I167" s="33">
        <v>0.17761207081823369</v>
      </c>
      <c r="L167" s="33">
        <v>0.17761207081823369</v>
      </c>
      <c r="N167" s="33">
        <v>0</v>
      </c>
      <c r="O167" s="33">
        <v>0</v>
      </c>
      <c r="P167" s="33">
        <v>0</v>
      </c>
      <c r="Q167" s="33">
        <v>0</v>
      </c>
    </row>
    <row r="168" spans="1:17" x14ac:dyDescent="0.2">
      <c r="A168" s="32">
        <v>2</v>
      </c>
      <c r="B168" s="32" t="s">
        <v>1141</v>
      </c>
      <c r="C168" s="32" t="s">
        <v>1142</v>
      </c>
      <c r="D168" s="33">
        <v>101135776.83261403</v>
      </c>
      <c r="F168" s="33">
        <v>0</v>
      </c>
      <c r="H168" s="33">
        <v>0</v>
      </c>
      <c r="I168" s="33">
        <v>101135776.83261403</v>
      </c>
      <c r="L168" s="33">
        <v>0</v>
      </c>
      <c r="N168" s="33">
        <v>101135776.83261403</v>
      </c>
      <c r="O168" s="33">
        <v>32764684.980645575</v>
      </c>
      <c r="P168" s="33">
        <v>68371091.851968452</v>
      </c>
      <c r="Q168" s="33">
        <v>0</v>
      </c>
    </row>
    <row r="169" spans="1:17" x14ac:dyDescent="0.2">
      <c r="A169" s="32">
        <v>3</v>
      </c>
      <c r="B169" s="32" t="s">
        <v>1143</v>
      </c>
      <c r="C169" s="32" t="s">
        <v>1144</v>
      </c>
      <c r="D169" s="33">
        <v>74647937.232403412</v>
      </c>
      <c r="F169" s="33">
        <v>0</v>
      </c>
      <c r="H169" s="33">
        <v>74647937.232403412</v>
      </c>
      <c r="I169" s="33">
        <v>0</v>
      </c>
      <c r="L169" s="33">
        <v>0</v>
      </c>
      <c r="N169" s="33">
        <v>0</v>
      </c>
      <c r="O169" s="33">
        <v>0</v>
      </c>
      <c r="P169" s="33">
        <v>0</v>
      </c>
      <c r="Q169" s="33">
        <v>0</v>
      </c>
    </row>
    <row r="170" spans="1:17" x14ac:dyDescent="0.2">
      <c r="A170" s="32">
        <v>4</v>
      </c>
      <c r="B170" s="32" t="s">
        <v>1145</v>
      </c>
      <c r="C170" s="32" t="s">
        <v>1146</v>
      </c>
      <c r="D170" s="33">
        <v>1495925595.7400002</v>
      </c>
      <c r="F170" s="33">
        <v>1320135670.366627</v>
      </c>
      <c r="H170" s="33">
        <v>74647937.232403412</v>
      </c>
      <c r="I170" s="33">
        <v>101141988.14096963</v>
      </c>
      <c r="L170" s="33">
        <v>6211.3083555943094</v>
      </c>
      <c r="N170" s="33">
        <v>101135776.83261403</v>
      </c>
      <c r="O170" s="33">
        <v>32764684.980645575</v>
      </c>
      <c r="P170" s="33">
        <v>68371091.851968452</v>
      </c>
      <c r="Q170" s="33">
        <v>0</v>
      </c>
    </row>
    <row r="171" spans="1:17" x14ac:dyDescent="0.2">
      <c r="A171" s="32">
        <v>5</v>
      </c>
      <c r="B171" s="32" t="s">
        <v>1147</v>
      </c>
      <c r="C171" s="32" t="s">
        <v>1148</v>
      </c>
      <c r="D171" s="33">
        <v>1</v>
      </c>
      <c r="F171" s="33">
        <v>0</v>
      </c>
      <c r="H171" s="33">
        <v>1</v>
      </c>
      <c r="I171" s="33">
        <v>0</v>
      </c>
      <c r="L171" s="33">
        <v>0</v>
      </c>
      <c r="N171" s="33">
        <v>0</v>
      </c>
      <c r="O171" s="33">
        <v>0</v>
      </c>
      <c r="P171" s="33">
        <v>0</v>
      </c>
      <c r="Q171" s="33">
        <v>0</v>
      </c>
    </row>
    <row r="172" spans="1:17" x14ac:dyDescent="0.2">
      <c r="A172" s="32">
        <v>6</v>
      </c>
      <c r="B172" s="32" t="s">
        <v>1149</v>
      </c>
      <c r="C172" s="32" t="s">
        <v>1150</v>
      </c>
      <c r="D172" s="33">
        <v>1394789818.9073861</v>
      </c>
      <c r="F172" s="33">
        <v>1320135670.366627</v>
      </c>
      <c r="H172" s="33">
        <v>74647937.232403412</v>
      </c>
      <c r="I172" s="33">
        <v>6211.3083555943094</v>
      </c>
      <c r="L172" s="33">
        <v>6211.3083555943094</v>
      </c>
      <c r="N172" s="33">
        <v>0</v>
      </c>
      <c r="O172" s="33">
        <v>0</v>
      </c>
      <c r="P172" s="33">
        <v>0</v>
      </c>
      <c r="Q172" s="33">
        <v>0</v>
      </c>
    </row>
    <row r="173" spans="1:17" x14ac:dyDescent="0.2">
      <c r="A173" s="32">
        <v>7</v>
      </c>
      <c r="B173" s="32" t="s">
        <v>1217</v>
      </c>
      <c r="C173" s="32" t="s">
        <v>1218</v>
      </c>
      <c r="D173" s="33">
        <v>1353270008.3899999</v>
      </c>
      <c r="F173" s="33">
        <v>1348948019.5461249</v>
      </c>
      <c r="H173" s="33">
        <v>0</v>
      </c>
      <c r="I173" s="33">
        <v>4321988.843875031</v>
      </c>
      <c r="L173" s="33">
        <v>0</v>
      </c>
      <c r="N173" s="33">
        <v>4321988.843875031</v>
      </c>
      <c r="O173" s="33">
        <v>3714063.0443994557</v>
      </c>
      <c r="P173" s="33">
        <v>607925.79947557533</v>
      </c>
      <c r="Q173" s="33">
        <v>0</v>
      </c>
    </row>
    <row r="174" spans="1:17" x14ac:dyDescent="0.2">
      <c r="A174" s="32">
        <v>8</v>
      </c>
      <c r="B174" s="32" t="s">
        <v>30</v>
      </c>
      <c r="C174" s="32" t="s">
        <v>31</v>
      </c>
      <c r="D174" s="33">
        <v>80327605.579999998</v>
      </c>
      <c r="F174" s="33">
        <v>0</v>
      </c>
      <c r="H174" s="33">
        <v>80327605.579999998</v>
      </c>
      <c r="I174" s="33">
        <v>0</v>
      </c>
      <c r="L174" s="33">
        <v>0</v>
      </c>
      <c r="N174" s="33">
        <v>0</v>
      </c>
      <c r="O174" s="33">
        <v>0</v>
      </c>
      <c r="P174" s="33">
        <v>0</v>
      </c>
      <c r="Q174" s="33">
        <v>0</v>
      </c>
    </row>
    <row r="175" spans="1:17" x14ac:dyDescent="0.2">
      <c r="A175" s="32">
        <v>9</v>
      </c>
      <c r="B175" s="32" t="s">
        <v>32</v>
      </c>
      <c r="C175" s="32" t="s">
        <v>33</v>
      </c>
      <c r="D175" s="33">
        <v>162042.68</v>
      </c>
      <c r="F175" s="33">
        <v>0</v>
      </c>
      <c r="H175" s="33">
        <v>0</v>
      </c>
      <c r="I175" s="33">
        <v>162042.68</v>
      </c>
      <c r="L175" s="33">
        <v>162042.68</v>
      </c>
      <c r="N175" s="33">
        <v>0</v>
      </c>
      <c r="O175" s="33">
        <v>0</v>
      </c>
      <c r="P175" s="33">
        <v>0</v>
      </c>
      <c r="Q175" s="33">
        <v>0</v>
      </c>
    </row>
    <row r="176" spans="1:17" x14ac:dyDescent="0.2">
      <c r="A176" s="32">
        <v>10</v>
      </c>
      <c r="B176" s="32" t="s">
        <v>34</v>
      </c>
      <c r="C176" s="32" t="s">
        <v>35</v>
      </c>
      <c r="D176" s="33">
        <v>4073283819.250001</v>
      </c>
      <c r="F176" s="33">
        <v>3561520105.9314809</v>
      </c>
      <c r="H176" s="33">
        <v>225955270.45836845</v>
      </c>
      <c r="I176" s="33">
        <v>285808442.86015201</v>
      </c>
      <c r="L176" s="33">
        <v>47886.199905867747</v>
      </c>
      <c r="N176" s="33">
        <v>285760556.66024613</v>
      </c>
      <c r="O176" s="33">
        <v>90684732.211932525</v>
      </c>
      <c r="P176" s="33">
        <v>195075824.44831359</v>
      </c>
      <c r="Q176" s="33">
        <v>5.3432076903705236E-12</v>
      </c>
    </row>
    <row r="177" spans="1:17" x14ac:dyDescent="0.2">
      <c r="A177" s="32">
        <v>11</v>
      </c>
      <c r="B177" s="32" t="s">
        <v>36</v>
      </c>
      <c r="C177" s="32" t="s">
        <v>37</v>
      </c>
      <c r="D177" s="33">
        <v>4056092315.1598926</v>
      </c>
      <c r="F177" s="33">
        <v>3550375898.9468842</v>
      </c>
      <c r="H177" s="33">
        <v>216540257.81030622</v>
      </c>
      <c r="I177" s="33">
        <v>289176158.40270245</v>
      </c>
      <c r="L177" s="33">
        <v>37845.191210532408</v>
      </c>
      <c r="N177" s="33">
        <v>289138313.21149194</v>
      </c>
      <c r="O177" s="33">
        <v>91830469.28928861</v>
      </c>
      <c r="P177" s="33">
        <v>197307843.92220336</v>
      </c>
      <c r="Q177" s="33">
        <v>6.3497674745248559E-12</v>
      </c>
    </row>
    <row r="178" spans="1:17" x14ac:dyDescent="0.2">
      <c r="A178" s="32">
        <v>12</v>
      </c>
      <c r="B178" s="32" t="s">
        <v>38</v>
      </c>
      <c r="C178" s="32" t="s">
        <v>649</v>
      </c>
      <c r="D178" s="33">
        <v>340829.69000000128</v>
      </c>
      <c r="F178" s="33">
        <v>0</v>
      </c>
      <c r="H178" s="33">
        <v>0</v>
      </c>
      <c r="I178" s="33">
        <v>340829.69000000128</v>
      </c>
      <c r="L178" s="33">
        <v>0</v>
      </c>
      <c r="N178" s="33">
        <v>340829.69000000128</v>
      </c>
      <c r="O178" s="33">
        <v>106347.51090341398</v>
      </c>
      <c r="P178" s="33">
        <v>234482.17909658732</v>
      </c>
      <c r="Q178" s="33">
        <v>0</v>
      </c>
    </row>
    <row r="179" spans="1:17" x14ac:dyDescent="0.2">
      <c r="A179" s="32">
        <v>13</v>
      </c>
      <c r="B179" s="32" t="s">
        <v>39</v>
      </c>
      <c r="C179" s="32" t="s">
        <v>40</v>
      </c>
      <c r="D179" s="33">
        <v>-1256557</v>
      </c>
      <c r="F179" s="33">
        <v>-1104028.4242857145</v>
      </c>
      <c r="H179" s="33">
        <v>-70030.651345793449</v>
      </c>
      <c r="I179" s="33">
        <v>-82497.924368492197</v>
      </c>
      <c r="L179" s="33">
        <v>-38.956291710910499</v>
      </c>
      <c r="N179" s="33">
        <v>-82458.968076781282</v>
      </c>
      <c r="O179" s="33">
        <v>-26198.727363966747</v>
      </c>
      <c r="P179" s="33">
        <v>-56260.240712814535</v>
      </c>
      <c r="Q179" s="33">
        <v>-1.6488702784297363E-15</v>
      </c>
    </row>
    <row r="180" spans="1:17" x14ac:dyDescent="0.2">
      <c r="A180" s="32">
        <v>14</v>
      </c>
      <c r="B180" s="32" t="s">
        <v>41</v>
      </c>
      <c r="C180" s="32" t="s">
        <v>2470</v>
      </c>
      <c r="D180" s="33">
        <v>534792106.07999998</v>
      </c>
      <c r="F180" s="33">
        <v>463397849.09036309</v>
      </c>
      <c r="H180" s="33">
        <v>24839290.186724</v>
      </c>
      <c r="I180" s="33">
        <v>46554966.802912913</v>
      </c>
      <c r="L180" s="33">
        <v>2689.5854231370736</v>
      </c>
      <c r="N180" s="33">
        <v>46552277.217489779</v>
      </c>
      <c r="O180" s="33">
        <v>15131037.791955026</v>
      </c>
      <c r="P180" s="33">
        <v>31421239.425534755</v>
      </c>
      <c r="Q180" s="33">
        <v>0</v>
      </c>
    </row>
    <row r="181" spans="1:17" x14ac:dyDescent="0.2">
      <c r="A181" s="32">
        <v>15</v>
      </c>
      <c r="B181" s="32" t="s">
        <v>42</v>
      </c>
      <c r="C181" s="32" t="s">
        <v>2471</v>
      </c>
      <c r="D181" s="33">
        <v>61471225.079999998</v>
      </c>
      <c r="F181" s="33">
        <v>52949729.186260365</v>
      </c>
      <c r="H181" s="33">
        <v>2855156.0926620504</v>
      </c>
      <c r="I181" s="33">
        <v>5666339.8010775829</v>
      </c>
      <c r="L181" s="33">
        <v>314.45428272004301</v>
      </c>
      <c r="N181" s="33">
        <v>5666025.3467948632</v>
      </c>
      <c r="O181" s="33">
        <v>1838709.0984152134</v>
      </c>
      <c r="P181" s="33">
        <v>3827316.2483796496</v>
      </c>
      <c r="Q181" s="33">
        <v>0</v>
      </c>
    </row>
    <row r="182" spans="1:17" x14ac:dyDescent="0.2">
      <c r="A182" s="32">
        <v>16</v>
      </c>
      <c r="B182" s="32" t="s">
        <v>43</v>
      </c>
      <c r="C182" s="32" t="s">
        <v>2472</v>
      </c>
      <c r="D182" s="33">
        <v>44637.38</v>
      </c>
      <c r="F182" s="33">
        <v>38552.624130675809</v>
      </c>
      <c r="H182" s="33">
        <v>2264.562175996251</v>
      </c>
      <c r="I182" s="33">
        <v>3820.1936933279358</v>
      </c>
      <c r="L182" s="33">
        <v>0.34087340754491002</v>
      </c>
      <c r="N182" s="33">
        <v>3819.8528199203906</v>
      </c>
      <c r="O182" s="33">
        <v>1191.8909981578154</v>
      </c>
      <c r="P182" s="33">
        <v>2627.9618217625753</v>
      </c>
      <c r="Q182" s="33">
        <v>0</v>
      </c>
    </row>
    <row r="183" spans="1:17" x14ac:dyDescent="0.2">
      <c r="A183" s="32">
        <v>17</v>
      </c>
      <c r="B183" s="32" t="s">
        <v>44</v>
      </c>
      <c r="C183" s="32" t="s">
        <v>2473</v>
      </c>
      <c r="D183" s="33">
        <v>311632.33</v>
      </c>
      <c r="F183" s="33">
        <v>269509.95653301617</v>
      </c>
      <c r="H183" s="33">
        <v>15361.818398594227</v>
      </c>
      <c r="I183" s="33">
        <v>26760.555068389607</v>
      </c>
      <c r="L183" s="33">
        <v>2.1154562885264738</v>
      </c>
      <c r="N183" s="33">
        <v>26758.43961210108</v>
      </c>
      <c r="O183" s="33">
        <v>8464.3791838560173</v>
      </c>
      <c r="P183" s="33">
        <v>18294.060428245062</v>
      </c>
      <c r="Q183" s="33">
        <v>0</v>
      </c>
    </row>
    <row r="184" spans="1:17" x14ac:dyDescent="0.2">
      <c r="A184" s="32">
        <v>18</v>
      </c>
      <c r="B184" s="32" t="s">
        <v>45</v>
      </c>
      <c r="C184" s="32" t="s">
        <v>2474</v>
      </c>
      <c r="D184" s="33">
        <v>32008989.09</v>
      </c>
      <c r="F184" s="33">
        <v>27768243.948622026</v>
      </c>
      <c r="H184" s="33">
        <v>1469792.1570223963</v>
      </c>
      <c r="I184" s="33">
        <v>2770952.9843555759</v>
      </c>
      <c r="L184" s="33">
        <v>153.53857254838701</v>
      </c>
      <c r="N184" s="33">
        <v>2770799.4457830274</v>
      </c>
      <c r="O184" s="33">
        <v>904128.0857736133</v>
      </c>
      <c r="P184" s="33">
        <v>1866671.3600094139</v>
      </c>
      <c r="Q184" s="33">
        <v>0</v>
      </c>
    </row>
    <row r="185" spans="1:17" x14ac:dyDescent="0.2">
      <c r="A185" s="32">
        <v>19</v>
      </c>
      <c r="B185" s="32" t="s">
        <v>46</v>
      </c>
      <c r="C185" s="32" t="s">
        <v>2475</v>
      </c>
      <c r="D185" s="33">
        <v>2075188.38</v>
      </c>
      <c r="F185" s="33">
        <v>1789011.7405038993</v>
      </c>
      <c r="H185" s="33">
        <v>105066.29651006365</v>
      </c>
      <c r="I185" s="33">
        <v>181110.34298603699</v>
      </c>
      <c r="L185" s="33">
        <v>15.818029041457221</v>
      </c>
      <c r="N185" s="33">
        <v>181094.52495699553</v>
      </c>
      <c r="O185" s="33">
        <v>56506.08656602828</v>
      </c>
      <c r="P185" s="33">
        <v>124588.43839096725</v>
      </c>
      <c r="Q185" s="33">
        <v>0</v>
      </c>
    </row>
    <row r="186" spans="1:17" x14ac:dyDescent="0.2">
      <c r="A186" s="32">
        <v>20</v>
      </c>
      <c r="B186" s="32" t="s">
        <v>47</v>
      </c>
      <c r="C186" s="32" t="s">
        <v>48</v>
      </c>
      <c r="D186" s="33">
        <v>0</v>
      </c>
      <c r="F186" s="33">
        <v>0</v>
      </c>
      <c r="H186" s="33">
        <v>0</v>
      </c>
      <c r="I186" s="33">
        <v>0</v>
      </c>
      <c r="L186" s="33">
        <v>0</v>
      </c>
      <c r="N186" s="33">
        <v>0</v>
      </c>
      <c r="O186" s="33">
        <v>0</v>
      </c>
      <c r="P186" s="33">
        <v>0</v>
      </c>
      <c r="Q186" s="33">
        <v>0</v>
      </c>
    </row>
    <row r="187" spans="1:17" x14ac:dyDescent="0.2">
      <c r="A187" s="32">
        <v>21</v>
      </c>
      <c r="B187" s="32" t="s">
        <v>49</v>
      </c>
      <c r="C187" s="32" t="s">
        <v>50</v>
      </c>
      <c r="D187" s="33">
        <v>0</v>
      </c>
      <c r="F187" s="33">
        <v>0</v>
      </c>
      <c r="H187" s="33">
        <v>0</v>
      </c>
      <c r="I187" s="33">
        <v>0</v>
      </c>
      <c r="L187" s="33">
        <v>0</v>
      </c>
      <c r="N187" s="33">
        <v>0</v>
      </c>
      <c r="O187" s="33">
        <v>0</v>
      </c>
      <c r="P187" s="33">
        <v>0</v>
      </c>
      <c r="Q187" s="33">
        <v>0</v>
      </c>
    </row>
    <row r="188" spans="1:17" x14ac:dyDescent="0.2">
      <c r="A188" s="32">
        <v>22</v>
      </c>
      <c r="B188" s="32" t="s">
        <v>51</v>
      </c>
      <c r="C188" s="32" t="s">
        <v>52</v>
      </c>
      <c r="D188" s="33">
        <v>0</v>
      </c>
      <c r="F188" s="33">
        <v>0</v>
      </c>
      <c r="H188" s="33">
        <v>0</v>
      </c>
      <c r="I188" s="33">
        <v>0</v>
      </c>
      <c r="L188" s="33">
        <v>0</v>
      </c>
      <c r="N188" s="33">
        <v>0</v>
      </c>
      <c r="O188" s="33">
        <v>0</v>
      </c>
      <c r="P188" s="33">
        <v>0</v>
      </c>
      <c r="Q188" s="33">
        <v>0</v>
      </c>
    </row>
    <row r="189" spans="1:17" x14ac:dyDescent="0.2">
      <c r="A189" s="32">
        <v>23</v>
      </c>
      <c r="B189" s="32" t="s">
        <v>53</v>
      </c>
      <c r="C189" s="32" t="s">
        <v>54</v>
      </c>
      <c r="D189" s="33">
        <v>0</v>
      </c>
      <c r="F189" s="33">
        <v>0</v>
      </c>
      <c r="H189" s="33">
        <v>0</v>
      </c>
      <c r="I189" s="33">
        <v>0</v>
      </c>
      <c r="L189" s="33">
        <v>0</v>
      </c>
      <c r="N189" s="33">
        <v>0</v>
      </c>
      <c r="O189" s="33">
        <v>0</v>
      </c>
      <c r="P189" s="33">
        <v>0</v>
      </c>
      <c r="Q189" s="33">
        <v>0</v>
      </c>
    </row>
    <row r="190" spans="1:17" x14ac:dyDescent="0.2">
      <c r="A190" s="32">
        <v>24</v>
      </c>
      <c r="B190" s="32" t="s">
        <v>55</v>
      </c>
      <c r="C190" s="32" t="s">
        <v>56</v>
      </c>
      <c r="D190" s="33">
        <v>0</v>
      </c>
      <c r="F190" s="33">
        <v>0</v>
      </c>
      <c r="H190" s="33">
        <v>0</v>
      </c>
      <c r="I190" s="33">
        <v>0</v>
      </c>
      <c r="L190" s="33">
        <v>0</v>
      </c>
      <c r="N190" s="33">
        <v>0</v>
      </c>
      <c r="O190" s="33">
        <v>0</v>
      </c>
      <c r="P190" s="33">
        <v>0</v>
      </c>
      <c r="Q190" s="33">
        <v>0</v>
      </c>
    </row>
    <row r="191" spans="1:17" x14ac:dyDescent="0.2">
      <c r="A191" s="32">
        <v>25</v>
      </c>
      <c r="B191" s="32" t="s">
        <v>640</v>
      </c>
      <c r="C191" s="32" t="s">
        <v>641</v>
      </c>
      <c r="D191" s="33">
        <v>0</v>
      </c>
      <c r="F191" s="33">
        <v>0</v>
      </c>
      <c r="H191" s="33">
        <v>0</v>
      </c>
      <c r="I191" s="33">
        <v>0</v>
      </c>
      <c r="L191" s="33">
        <v>0</v>
      </c>
      <c r="N191" s="33">
        <v>0</v>
      </c>
      <c r="O191" s="33">
        <v>0</v>
      </c>
      <c r="P191" s="33">
        <v>0</v>
      </c>
      <c r="Q191" s="33">
        <v>0</v>
      </c>
    </row>
    <row r="192" spans="1:17" x14ac:dyDescent="0.2">
      <c r="A192" s="32">
        <v>26</v>
      </c>
      <c r="B192" s="32" t="s">
        <v>642</v>
      </c>
      <c r="C192" s="32" t="s">
        <v>2476</v>
      </c>
      <c r="D192" s="33">
        <v>15897596.83</v>
      </c>
      <c r="F192" s="33">
        <v>12822591.852505596</v>
      </c>
      <c r="H192" s="33">
        <v>1788132.856144703</v>
      </c>
      <c r="I192" s="33">
        <v>1286872.121349701</v>
      </c>
      <c r="L192" s="33">
        <v>110.44880895057254</v>
      </c>
      <c r="N192" s="33">
        <v>1286761.6725407504</v>
      </c>
      <c r="O192" s="33">
        <v>401502.28989916376</v>
      </c>
      <c r="P192" s="33">
        <v>885259.38264158648</v>
      </c>
      <c r="Q192" s="33">
        <v>0</v>
      </c>
    </row>
    <row r="193" spans="1:17" x14ac:dyDescent="0.2">
      <c r="A193" s="32">
        <v>27</v>
      </c>
      <c r="B193" s="32" t="s">
        <v>643</v>
      </c>
      <c r="C193" s="32" t="s">
        <v>2477</v>
      </c>
      <c r="D193" s="33">
        <v>7296485.7400000012</v>
      </c>
      <c r="F193" s="33">
        <v>5870248.5984464949</v>
      </c>
      <c r="H193" s="33">
        <v>829364.99684751139</v>
      </c>
      <c r="I193" s="33">
        <v>596872.14470599475</v>
      </c>
      <c r="L193" s="33">
        <v>51.227947505311171</v>
      </c>
      <c r="N193" s="33">
        <v>596820.91675848945</v>
      </c>
      <c r="O193" s="33">
        <v>186223.26873095692</v>
      </c>
      <c r="P193" s="33">
        <v>410597.6480275325</v>
      </c>
      <c r="Q193" s="33">
        <v>0</v>
      </c>
    </row>
    <row r="194" spans="1:17" x14ac:dyDescent="0.2">
      <c r="A194" s="32">
        <v>28</v>
      </c>
      <c r="B194" s="32" t="s">
        <v>644</v>
      </c>
      <c r="C194" s="32" t="s">
        <v>645</v>
      </c>
      <c r="D194" s="33">
        <v>5806037.21</v>
      </c>
      <c r="F194" s="33">
        <v>4659128.9201877248</v>
      </c>
      <c r="H194" s="33">
        <v>666933.68336240132</v>
      </c>
      <c r="I194" s="33">
        <v>479974.60644987389</v>
      </c>
      <c r="L194" s="33">
        <v>41.194942939091355</v>
      </c>
      <c r="N194" s="33">
        <v>479933.41150693479</v>
      </c>
      <c r="O194" s="33">
        <v>149751.4013909593</v>
      </c>
      <c r="P194" s="33">
        <v>330182.01011597551</v>
      </c>
      <c r="Q194" s="33">
        <v>0</v>
      </c>
    </row>
    <row r="195" spans="1:17" x14ac:dyDescent="0.2">
      <c r="A195" s="32">
        <v>29</v>
      </c>
      <c r="B195" s="32" t="s">
        <v>646</v>
      </c>
      <c r="C195" s="32" t="s">
        <v>647</v>
      </c>
      <c r="D195" s="33">
        <v>0</v>
      </c>
      <c r="F195" s="33">
        <v>0</v>
      </c>
      <c r="H195" s="33">
        <v>0</v>
      </c>
      <c r="I195" s="33">
        <v>0</v>
      </c>
      <c r="L195" s="33">
        <v>0</v>
      </c>
      <c r="N195" s="33">
        <v>0</v>
      </c>
      <c r="O195" s="33">
        <v>0</v>
      </c>
      <c r="P195" s="33">
        <v>0</v>
      </c>
      <c r="Q195" s="33">
        <v>0</v>
      </c>
    </row>
    <row r="196" spans="1:17" x14ac:dyDescent="0.2">
      <c r="A196" s="32">
        <v>30</v>
      </c>
      <c r="B196" s="32" t="s">
        <v>648</v>
      </c>
      <c r="C196" s="32" t="s">
        <v>2478</v>
      </c>
      <c r="D196" s="33">
        <v>18068319.760000002</v>
      </c>
      <c r="F196" s="33">
        <v>16955464.371824909</v>
      </c>
      <c r="H196" s="33">
        <v>1028083.351331161</v>
      </c>
      <c r="I196" s="33">
        <v>84772.036843931797</v>
      </c>
      <c r="L196" s="33">
        <v>1772.0338904307212</v>
      </c>
      <c r="N196" s="33">
        <v>83000.002953501069</v>
      </c>
      <c r="O196" s="33">
        <v>53717.879509856204</v>
      </c>
      <c r="P196" s="33">
        <v>29282.123443644872</v>
      </c>
      <c r="Q196" s="33">
        <v>0</v>
      </c>
    </row>
    <row r="197" spans="1:17" x14ac:dyDescent="0.2">
      <c r="A197" s="32">
        <v>31</v>
      </c>
      <c r="B197" s="32" t="s">
        <v>661</v>
      </c>
      <c r="C197" s="32" t="s">
        <v>2479</v>
      </c>
      <c r="D197" s="33">
        <v>33827107.82</v>
      </c>
      <c r="F197" s="33">
        <v>31296859.730097093</v>
      </c>
      <c r="H197" s="33">
        <v>2509484.3444370027</v>
      </c>
      <c r="I197" s="33">
        <v>20763.745465904463</v>
      </c>
      <c r="L197" s="33">
        <v>4537.4376116084486</v>
      </c>
      <c r="N197" s="33">
        <v>16226.307854296016</v>
      </c>
      <c r="O197" s="33">
        <v>15922.876358750889</v>
      </c>
      <c r="P197" s="33">
        <v>303.43149554512587</v>
      </c>
      <c r="Q197" s="33">
        <v>0</v>
      </c>
    </row>
    <row r="198" spans="1:17" x14ac:dyDescent="0.2">
      <c r="A198" s="32">
        <v>32</v>
      </c>
      <c r="B198" s="32" t="s">
        <v>662</v>
      </c>
      <c r="C198" s="32" t="s">
        <v>663</v>
      </c>
      <c r="D198" s="33">
        <v>19510181.420000006</v>
      </c>
      <c r="F198" s="33">
        <v>18356089.505954929</v>
      </c>
      <c r="H198" s="33">
        <v>1093074.5265645182</v>
      </c>
      <c r="I198" s="33">
        <v>61017.38748055527</v>
      </c>
      <c r="L198" s="33">
        <v>2205.0293226759177</v>
      </c>
      <c r="N198" s="33">
        <v>58812.358157879353</v>
      </c>
      <c r="O198" s="33">
        <v>50539.881956826372</v>
      </c>
      <c r="P198" s="33">
        <v>8272.4762010529794</v>
      </c>
      <c r="Q198" s="33">
        <v>0</v>
      </c>
    </row>
    <row r="199" spans="1:17" x14ac:dyDescent="0.2">
      <c r="A199" s="32">
        <v>33</v>
      </c>
      <c r="B199" s="32" t="s">
        <v>664</v>
      </c>
      <c r="C199" s="32" t="s">
        <v>665</v>
      </c>
      <c r="D199" s="33">
        <v>0</v>
      </c>
      <c r="F199" s="33">
        <v>0</v>
      </c>
      <c r="H199" s="33">
        <v>0</v>
      </c>
      <c r="I199" s="33">
        <v>0</v>
      </c>
      <c r="L199" s="33">
        <v>0</v>
      </c>
      <c r="N199" s="33">
        <v>0</v>
      </c>
      <c r="O199" s="33">
        <v>0</v>
      </c>
      <c r="P199" s="33">
        <v>0</v>
      </c>
      <c r="Q199" s="33">
        <v>0</v>
      </c>
    </row>
    <row r="200" spans="1:17" x14ac:dyDescent="0.2">
      <c r="A200" s="32">
        <v>34</v>
      </c>
      <c r="B200" s="32" t="s">
        <v>666</v>
      </c>
      <c r="C200" s="32" t="s">
        <v>2480</v>
      </c>
      <c r="D200" s="33">
        <v>19989907.949999999</v>
      </c>
      <c r="F200" s="33">
        <v>18912612.966814157</v>
      </c>
      <c r="H200" s="33">
        <v>1052421.3682906679</v>
      </c>
      <c r="I200" s="33">
        <v>24873.614895177034</v>
      </c>
      <c r="L200" s="33">
        <v>187.22075727552607</v>
      </c>
      <c r="N200" s="33">
        <v>24686.394137901509</v>
      </c>
      <c r="O200" s="33">
        <v>13212.436299158555</v>
      </c>
      <c r="P200" s="33">
        <v>11473.957838742954</v>
      </c>
      <c r="Q200" s="33">
        <v>0</v>
      </c>
    </row>
    <row r="201" spans="1:17" x14ac:dyDescent="0.2">
      <c r="A201" s="32">
        <v>35</v>
      </c>
      <c r="B201" s="32" t="s">
        <v>668</v>
      </c>
      <c r="C201" s="32" t="s">
        <v>669</v>
      </c>
      <c r="D201" s="33">
        <v>2455747.42</v>
      </c>
      <c r="F201" s="33">
        <v>2323402.4196050591</v>
      </c>
      <c r="H201" s="33">
        <v>129289.29269695199</v>
      </c>
      <c r="I201" s="33">
        <v>3055.7076979889034</v>
      </c>
      <c r="L201" s="33">
        <v>22.999950414970236</v>
      </c>
      <c r="N201" s="33">
        <v>3032.7077475739334</v>
      </c>
      <c r="O201" s="33">
        <v>1623.1393578564714</v>
      </c>
      <c r="P201" s="33">
        <v>1409.5683897174617</v>
      </c>
      <c r="Q201" s="33">
        <v>0</v>
      </c>
    </row>
    <row r="202" spans="1:17" x14ac:dyDescent="0.2">
      <c r="A202" s="32">
        <v>36</v>
      </c>
      <c r="B202" s="32" t="s">
        <v>670</v>
      </c>
      <c r="C202" s="32" t="s">
        <v>2481</v>
      </c>
      <c r="D202" s="33">
        <v>14263008.130000001</v>
      </c>
      <c r="F202" s="33">
        <v>14252968.890397022</v>
      </c>
      <c r="H202" s="33">
        <v>10037.862619868854</v>
      </c>
      <c r="I202" s="33">
        <v>1.3769831091421316</v>
      </c>
      <c r="L202" s="33">
        <v>1.3769831091421316</v>
      </c>
      <c r="N202" s="33">
        <v>0</v>
      </c>
      <c r="O202" s="33">
        <v>0</v>
      </c>
      <c r="P202" s="33">
        <v>0</v>
      </c>
      <c r="Q202" s="33">
        <v>0</v>
      </c>
    </row>
    <row r="203" spans="1:17" x14ac:dyDescent="0.2">
      <c r="A203" s="32">
        <v>37</v>
      </c>
      <c r="B203" s="32" t="s">
        <v>672</v>
      </c>
      <c r="C203" s="32" t="s">
        <v>673</v>
      </c>
      <c r="D203" s="33">
        <v>2455747.42</v>
      </c>
      <c r="F203" s="33">
        <v>2323402.4196050591</v>
      </c>
      <c r="H203" s="33">
        <v>129289.29269695199</v>
      </c>
      <c r="I203" s="33">
        <v>3055.7076979889034</v>
      </c>
      <c r="L203" s="33">
        <v>22.999950414970236</v>
      </c>
      <c r="N203" s="33">
        <v>3032.7077475739334</v>
      </c>
      <c r="O203" s="33">
        <v>1623.1393578564714</v>
      </c>
      <c r="P203" s="33">
        <v>1409.5683897174617</v>
      </c>
      <c r="Q203" s="33">
        <v>0</v>
      </c>
    </row>
    <row r="204" spans="1:17" x14ac:dyDescent="0.2">
      <c r="A204" s="32">
        <v>38</v>
      </c>
      <c r="B204" s="32" t="s">
        <v>674</v>
      </c>
      <c r="C204" s="32" t="s">
        <v>2482</v>
      </c>
      <c r="D204" s="33">
        <v>23966.440000000002</v>
      </c>
      <c r="F204" s="33">
        <v>22671.514794681963</v>
      </c>
      <c r="H204" s="33">
        <v>1294.7475932472189</v>
      </c>
      <c r="I204" s="33">
        <v>0.17761207081823369</v>
      </c>
      <c r="L204" s="33">
        <v>0.17761207081823369</v>
      </c>
      <c r="N204" s="33">
        <v>0</v>
      </c>
      <c r="O204" s="33">
        <v>0</v>
      </c>
      <c r="P204" s="33">
        <v>0</v>
      </c>
      <c r="Q204" s="33">
        <v>0</v>
      </c>
    </row>
    <row r="205" spans="1:17" x14ac:dyDescent="0.2">
      <c r="A205" s="32">
        <v>39</v>
      </c>
      <c r="B205" s="32" t="s">
        <v>675</v>
      </c>
      <c r="C205" s="32" t="s">
        <v>676</v>
      </c>
      <c r="D205" s="33">
        <v>1457202.11</v>
      </c>
      <c r="F205" s="33">
        <v>1456176.4356822884</v>
      </c>
      <c r="H205" s="33">
        <v>1025.5336361196496</v>
      </c>
      <c r="I205" s="33">
        <v>0.14068159211490786</v>
      </c>
      <c r="L205" s="33">
        <v>0.14068159211490786</v>
      </c>
      <c r="N205" s="33">
        <v>0</v>
      </c>
      <c r="O205" s="33">
        <v>0</v>
      </c>
      <c r="P205" s="33">
        <v>0</v>
      </c>
      <c r="Q205" s="33">
        <v>0</v>
      </c>
    </row>
    <row r="206" spans="1:17" x14ac:dyDescent="0.2">
      <c r="A206" s="32">
        <v>40</v>
      </c>
      <c r="B206" s="32" t="s">
        <v>677</v>
      </c>
      <c r="C206" s="32" t="s">
        <v>678</v>
      </c>
      <c r="D206" s="33">
        <v>103626522.50999999</v>
      </c>
      <c r="F206" s="33">
        <v>93031575.562712044</v>
      </c>
      <c r="H206" s="33">
        <v>5878223.4390048729</v>
      </c>
      <c r="I206" s="33">
        <v>4716723.5082830722</v>
      </c>
      <c r="L206" s="33">
        <v>3118.0683717124462</v>
      </c>
      <c r="N206" s="33">
        <v>4713605.4399113599</v>
      </c>
      <c r="O206" s="33">
        <v>1529124.9274605478</v>
      </c>
      <c r="P206" s="33">
        <v>3184480.5124508124</v>
      </c>
      <c r="Q206" s="33">
        <v>4.8918820642177681E-12</v>
      </c>
    </row>
    <row r="207" spans="1:17" x14ac:dyDescent="0.2">
      <c r="F207" s="33"/>
    </row>
    <row r="208" spans="1:17" x14ac:dyDescent="0.2">
      <c r="B208" s="32" t="s">
        <v>1139</v>
      </c>
      <c r="F208" s="33"/>
    </row>
    <row r="209" spans="1:17" x14ac:dyDescent="0.2">
      <c r="B209" s="32" t="s">
        <v>1670</v>
      </c>
      <c r="F209" s="33"/>
    </row>
    <row r="210" spans="1:17" x14ac:dyDescent="0.2">
      <c r="A210" s="32">
        <v>1</v>
      </c>
      <c r="B210" s="32" t="s">
        <v>679</v>
      </c>
      <c r="C210" s="32" t="s">
        <v>680</v>
      </c>
      <c r="D210" s="33">
        <v>1396664.09</v>
      </c>
      <c r="F210" s="33">
        <v>1326517.9832373534</v>
      </c>
      <c r="H210" s="33">
        <v>70138.814736388886</v>
      </c>
      <c r="I210" s="33">
        <v>7.2920262577298507</v>
      </c>
      <c r="L210" s="33">
        <v>7.2920262577298507</v>
      </c>
      <c r="N210" s="33">
        <v>0</v>
      </c>
      <c r="O210" s="33">
        <v>0</v>
      </c>
      <c r="P210" s="33">
        <v>0</v>
      </c>
      <c r="Q210" s="33">
        <v>0</v>
      </c>
    </row>
    <row r="211" spans="1:17" x14ac:dyDescent="0.2">
      <c r="A211" s="32">
        <v>2</v>
      </c>
      <c r="B211" s="32" t="s">
        <v>681</v>
      </c>
      <c r="C211" s="32" t="s">
        <v>682</v>
      </c>
      <c r="D211" s="33">
        <v>14444732.700000001</v>
      </c>
      <c r="F211" s="33">
        <v>14435843.606793078</v>
      </c>
      <c r="H211" s="33">
        <v>8887.8739780085671</v>
      </c>
      <c r="I211" s="33">
        <v>1.2192289142986477</v>
      </c>
      <c r="L211" s="33">
        <v>1.2192289142986477</v>
      </c>
      <c r="N211" s="33">
        <v>0</v>
      </c>
      <c r="O211" s="33">
        <v>0</v>
      </c>
      <c r="P211" s="33">
        <v>0</v>
      </c>
      <c r="Q211" s="33">
        <v>0</v>
      </c>
    </row>
    <row r="212" spans="1:17" x14ac:dyDescent="0.2">
      <c r="A212" s="32">
        <v>3</v>
      </c>
      <c r="B212" s="32" t="s">
        <v>1230</v>
      </c>
      <c r="C212" s="32" t="s">
        <v>1231</v>
      </c>
      <c r="D212" s="33">
        <v>1353432051.0699999</v>
      </c>
      <c r="F212" s="33">
        <v>1348948019.5461249</v>
      </c>
      <c r="H212" s="33">
        <v>0</v>
      </c>
      <c r="I212" s="33">
        <v>4484031.5238750307</v>
      </c>
      <c r="L212" s="33">
        <v>162042.68</v>
      </c>
      <c r="N212" s="33">
        <v>4321988.843875031</v>
      </c>
      <c r="O212" s="33">
        <v>3714063.0443994557</v>
      </c>
      <c r="P212" s="33">
        <v>607925.79947557533</v>
      </c>
      <c r="Q212" s="33">
        <v>0</v>
      </c>
    </row>
    <row r="213" spans="1:17" x14ac:dyDescent="0.2">
      <c r="A213" s="32">
        <v>4</v>
      </c>
      <c r="B213" s="32" t="s">
        <v>1232</v>
      </c>
      <c r="C213" s="32" t="s">
        <v>1233</v>
      </c>
      <c r="D213" s="33">
        <v>64434373.699271724</v>
      </c>
      <c r="F213" s="33">
        <v>64434373.699271724</v>
      </c>
      <c r="H213" s="33">
        <v>0</v>
      </c>
      <c r="I213" s="33">
        <v>0</v>
      </c>
      <c r="L213" s="33">
        <v>0</v>
      </c>
      <c r="N213" s="33">
        <v>0</v>
      </c>
      <c r="O213" s="33">
        <v>0</v>
      </c>
      <c r="P213" s="33">
        <v>0</v>
      </c>
      <c r="Q213" s="33">
        <v>0</v>
      </c>
    </row>
    <row r="214" spans="1:17" x14ac:dyDescent="0.2">
      <c r="A214" s="32">
        <v>5</v>
      </c>
      <c r="B214" s="32" t="s">
        <v>1234</v>
      </c>
      <c r="C214" s="32" t="s">
        <v>1235</v>
      </c>
      <c r="D214" s="33">
        <v>4125280.2933688816</v>
      </c>
      <c r="F214" s="33">
        <v>0</v>
      </c>
      <c r="H214" s="33">
        <v>4125280.2933688816</v>
      </c>
      <c r="I214" s="33">
        <v>0</v>
      </c>
      <c r="L214" s="33">
        <v>0</v>
      </c>
      <c r="N214" s="33">
        <v>0</v>
      </c>
      <c r="O214" s="33">
        <v>0</v>
      </c>
      <c r="P214" s="33">
        <v>0</v>
      </c>
      <c r="Q214" s="33">
        <v>0</v>
      </c>
    </row>
    <row r="215" spans="1:17" x14ac:dyDescent="0.2">
      <c r="A215" s="32">
        <v>6</v>
      </c>
      <c r="B215" s="32" t="s">
        <v>1236</v>
      </c>
      <c r="C215" s="32" t="s">
        <v>1237</v>
      </c>
      <c r="D215" s="33">
        <v>0</v>
      </c>
      <c r="F215" s="33">
        <v>0</v>
      </c>
      <c r="H215" s="33">
        <v>0</v>
      </c>
      <c r="I215" s="33">
        <v>0</v>
      </c>
      <c r="L215" s="33">
        <v>0</v>
      </c>
      <c r="N215" s="33">
        <v>0</v>
      </c>
      <c r="O215" s="33">
        <v>0</v>
      </c>
      <c r="P215" s="33">
        <v>0</v>
      </c>
      <c r="Q215" s="33">
        <v>0</v>
      </c>
    </row>
    <row r="216" spans="1:17" x14ac:dyDescent="0.2">
      <c r="A216" s="32">
        <v>7</v>
      </c>
      <c r="B216" s="32" t="s">
        <v>1238</v>
      </c>
      <c r="C216" s="32" t="s">
        <v>73</v>
      </c>
      <c r="D216" s="33">
        <v>4823306.2092908984</v>
      </c>
      <c r="F216" s="33">
        <v>0</v>
      </c>
      <c r="H216" s="33">
        <v>0</v>
      </c>
      <c r="I216" s="33">
        <v>4823306.2092908984</v>
      </c>
      <c r="L216" s="33">
        <v>0</v>
      </c>
      <c r="N216" s="33">
        <v>4823306.2092908984</v>
      </c>
      <c r="O216" s="33">
        <v>1563830.0073313776</v>
      </c>
      <c r="P216" s="33">
        <v>3259476.2019595206</v>
      </c>
      <c r="Q216" s="33">
        <v>0</v>
      </c>
    </row>
    <row r="217" spans="1:17" x14ac:dyDescent="0.2">
      <c r="A217" s="32">
        <v>8</v>
      </c>
      <c r="B217" s="32" t="s">
        <v>2483</v>
      </c>
      <c r="C217" s="32" t="s">
        <v>2484</v>
      </c>
      <c r="D217" s="33">
        <v>-1256557</v>
      </c>
      <c r="F217" s="33">
        <v>-1104028.4242857145</v>
      </c>
      <c r="H217" s="33">
        <v>-70030.651345793449</v>
      </c>
      <c r="I217" s="33">
        <v>-82497.924368492197</v>
      </c>
      <c r="L217" s="33">
        <v>-38.956291710910499</v>
      </c>
      <c r="N217" s="33">
        <v>-82458.968076781282</v>
      </c>
      <c r="O217" s="33">
        <v>-26198.727363966747</v>
      </c>
      <c r="P217" s="33">
        <v>-56260.240712814535</v>
      </c>
      <c r="Q217" s="33">
        <v>0</v>
      </c>
    </row>
    <row r="218" spans="1:17" x14ac:dyDescent="0.2">
      <c r="A218" s="32">
        <v>9</v>
      </c>
      <c r="B218" s="32" t="s">
        <v>2485</v>
      </c>
      <c r="C218" s="32" t="s">
        <v>2486</v>
      </c>
      <c r="D218" s="33">
        <v>3839514212.1583762</v>
      </c>
      <c r="F218" s="33">
        <v>3550375898.9468842</v>
      </c>
      <c r="H218" s="33">
        <v>0</v>
      </c>
      <c r="I218" s="33">
        <v>289138313.21149194</v>
      </c>
      <c r="L218" s="33">
        <v>0</v>
      </c>
      <c r="N218" s="33">
        <v>289138313.21149194</v>
      </c>
      <c r="O218" s="33">
        <v>91830469.28928861</v>
      </c>
      <c r="P218" s="33">
        <v>197307843.92220336</v>
      </c>
      <c r="Q218" s="33">
        <v>0</v>
      </c>
    </row>
    <row r="219" spans="1:17" x14ac:dyDescent="0.2">
      <c r="A219" s="32">
        <v>10</v>
      </c>
      <c r="F219" s="33"/>
    </row>
    <row r="220" spans="1:17" x14ac:dyDescent="0.2">
      <c r="A220" s="32">
        <v>11</v>
      </c>
      <c r="F220" s="33"/>
    </row>
    <row r="221" spans="1:17" x14ac:dyDescent="0.2">
      <c r="A221" s="32">
        <v>12</v>
      </c>
      <c r="F221" s="33"/>
    </row>
    <row r="222" spans="1:17" x14ac:dyDescent="0.2">
      <c r="A222" s="32">
        <v>13</v>
      </c>
      <c r="F222" s="33"/>
    </row>
    <row r="223" spans="1:17" x14ac:dyDescent="0.2">
      <c r="A223" s="32">
        <v>14</v>
      </c>
      <c r="F223" s="33"/>
    </row>
    <row r="224" spans="1:17" x14ac:dyDescent="0.2">
      <c r="A224" s="32">
        <v>15</v>
      </c>
      <c r="F224" s="33"/>
    </row>
    <row r="225" spans="1:6" x14ac:dyDescent="0.2">
      <c r="A225" s="32">
        <v>16</v>
      </c>
      <c r="F225" s="33"/>
    </row>
    <row r="226" spans="1:6" x14ac:dyDescent="0.2">
      <c r="A226" s="32">
        <v>17</v>
      </c>
      <c r="F226" s="33"/>
    </row>
    <row r="227" spans="1:6" x14ac:dyDescent="0.2">
      <c r="A227" s="32">
        <v>18</v>
      </c>
      <c r="F227" s="33"/>
    </row>
    <row r="228" spans="1:6" x14ac:dyDescent="0.2">
      <c r="A228" s="32">
        <v>19</v>
      </c>
      <c r="F228" s="33"/>
    </row>
    <row r="229" spans="1:6" x14ac:dyDescent="0.2">
      <c r="A229" s="32">
        <v>20</v>
      </c>
      <c r="F229" s="33"/>
    </row>
    <row r="230" spans="1:6" x14ac:dyDescent="0.2">
      <c r="A230" s="32">
        <v>21</v>
      </c>
      <c r="F230" s="33"/>
    </row>
    <row r="231" spans="1:6" x14ac:dyDescent="0.2">
      <c r="A231" s="32">
        <v>22</v>
      </c>
      <c r="F231" s="33"/>
    </row>
    <row r="232" spans="1:6" x14ac:dyDescent="0.2">
      <c r="A232" s="32">
        <v>23</v>
      </c>
      <c r="F232" s="33"/>
    </row>
    <row r="233" spans="1:6" x14ac:dyDescent="0.2">
      <c r="A233" s="32">
        <v>24</v>
      </c>
      <c r="F233" s="33"/>
    </row>
    <row r="234" spans="1:6" x14ac:dyDescent="0.2">
      <c r="A234" s="32">
        <v>25</v>
      </c>
      <c r="F234" s="33"/>
    </row>
    <row r="235" spans="1:6" x14ac:dyDescent="0.2">
      <c r="A235" s="32">
        <v>26</v>
      </c>
      <c r="F235" s="33"/>
    </row>
    <row r="236" spans="1:6" x14ac:dyDescent="0.2">
      <c r="A236" s="32">
        <v>27</v>
      </c>
      <c r="F236" s="33"/>
    </row>
    <row r="237" spans="1:6" x14ac:dyDescent="0.2">
      <c r="A237" s="32">
        <v>28</v>
      </c>
      <c r="F237" s="33"/>
    </row>
    <row r="238" spans="1:6" x14ac:dyDescent="0.2">
      <c r="A238" s="32">
        <v>29</v>
      </c>
      <c r="F238" s="33"/>
    </row>
    <row r="239" spans="1:6" x14ac:dyDescent="0.2">
      <c r="A239" s="32">
        <v>30</v>
      </c>
      <c r="F239" s="33"/>
    </row>
    <row r="240" spans="1:6" x14ac:dyDescent="0.2">
      <c r="A240" s="32">
        <v>31</v>
      </c>
      <c r="F240" s="33"/>
    </row>
    <row r="241" spans="1:17" x14ac:dyDescent="0.2">
      <c r="A241" s="32">
        <v>32</v>
      </c>
      <c r="B241" s="117"/>
      <c r="F241" s="33"/>
    </row>
    <row r="242" spans="1:17" x14ac:dyDescent="0.2">
      <c r="A242" s="32">
        <v>33</v>
      </c>
      <c r="F242" s="33"/>
    </row>
    <row r="243" spans="1:17" x14ac:dyDescent="0.2">
      <c r="A243" s="32">
        <v>34</v>
      </c>
      <c r="F243" s="33"/>
    </row>
    <row r="244" spans="1:17" x14ac:dyDescent="0.2">
      <c r="A244" s="32">
        <v>35</v>
      </c>
      <c r="F244" s="33"/>
    </row>
    <row r="245" spans="1:17" x14ac:dyDescent="0.2">
      <c r="A245" s="32">
        <v>36</v>
      </c>
      <c r="F245" s="33"/>
    </row>
    <row r="246" spans="1:17" x14ac:dyDescent="0.2">
      <c r="A246" s="32">
        <v>37</v>
      </c>
      <c r="F246" s="33"/>
    </row>
    <row r="247" spans="1:17" x14ac:dyDescent="0.2">
      <c r="A247" s="32">
        <v>38</v>
      </c>
      <c r="F247" s="33"/>
    </row>
    <row r="248" spans="1:17" x14ac:dyDescent="0.2">
      <c r="A248" s="32">
        <v>39</v>
      </c>
      <c r="F248" s="33"/>
    </row>
    <row r="249" spans="1:17" x14ac:dyDescent="0.2">
      <c r="A249" s="32">
        <v>40</v>
      </c>
      <c r="F249" s="33"/>
    </row>
    <row r="250" spans="1:17" x14ac:dyDescent="0.2">
      <c r="F250" s="33"/>
    </row>
    <row r="251" spans="1:17" x14ac:dyDescent="0.2">
      <c r="B251" s="32" t="s">
        <v>74</v>
      </c>
      <c r="F251" s="33"/>
    </row>
    <row r="252" spans="1:17" x14ac:dyDescent="0.2">
      <c r="B252" s="32" t="s">
        <v>1670</v>
      </c>
      <c r="F252" s="33"/>
    </row>
    <row r="253" spans="1:17" x14ac:dyDescent="0.2">
      <c r="A253" s="32">
        <v>1</v>
      </c>
      <c r="B253" s="32" t="s">
        <v>2487</v>
      </c>
      <c r="D253" s="33">
        <v>509303762.84999996</v>
      </c>
      <c r="F253" s="33">
        <v>476589863.13999999</v>
      </c>
      <c r="H253" s="33">
        <v>32707844.710000001</v>
      </c>
      <c r="I253" s="33">
        <v>6055</v>
      </c>
      <c r="L253" s="33">
        <v>6055</v>
      </c>
      <c r="N253" s="33">
        <v>0</v>
      </c>
      <c r="O253" s="33">
        <v>0</v>
      </c>
      <c r="P253" s="33">
        <v>0</v>
      </c>
      <c r="Q253" s="33">
        <v>0</v>
      </c>
    </row>
    <row r="254" spans="1:17" x14ac:dyDescent="0.2">
      <c r="A254" s="32">
        <v>2</v>
      </c>
      <c r="B254" s="32" t="s">
        <v>2488</v>
      </c>
      <c r="D254" s="33">
        <v>181449246.41</v>
      </c>
      <c r="F254" s="33">
        <v>175113848.34</v>
      </c>
      <c r="H254" s="33">
        <v>6335398.0700000003</v>
      </c>
      <c r="I254" s="33">
        <v>0</v>
      </c>
      <c r="L254" s="33">
        <v>0</v>
      </c>
      <c r="N254" s="33">
        <v>0</v>
      </c>
      <c r="O254" s="33">
        <v>0</v>
      </c>
      <c r="P254" s="33">
        <v>0</v>
      </c>
      <c r="Q254" s="33">
        <v>0</v>
      </c>
    </row>
    <row r="255" spans="1:17" x14ac:dyDescent="0.2">
      <c r="A255" s="32">
        <v>3</v>
      </c>
      <c r="B255" s="32" t="s">
        <v>2489</v>
      </c>
      <c r="D255" s="33">
        <v>159939302.09999999</v>
      </c>
      <c r="F255" s="33">
        <v>149946898.97</v>
      </c>
      <c r="H255" s="33">
        <v>9992403.1300000008</v>
      </c>
      <c r="I255" s="33">
        <v>0</v>
      </c>
      <c r="L255" s="33">
        <v>0</v>
      </c>
      <c r="N255" s="33">
        <v>0</v>
      </c>
      <c r="O255" s="33">
        <v>0</v>
      </c>
      <c r="P255" s="33">
        <v>0</v>
      </c>
      <c r="Q255" s="33">
        <v>0</v>
      </c>
    </row>
    <row r="256" spans="1:17" x14ac:dyDescent="0.2">
      <c r="A256" s="32">
        <v>4</v>
      </c>
      <c r="B256" s="32" t="s">
        <v>2490</v>
      </c>
      <c r="D256" s="33">
        <v>342664408.80000001</v>
      </c>
      <c r="F256" s="33">
        <v>339425792.10000002</v>
      </c>
      <c r="H256" s="33">
        <v>3238616.7</v>
      </c>
      <c r="I256" s="33">
        <v>0</v>
      </c>
      <c r="L256" s="33">
        <v>0</v>
      </c>
      <c r="N256" s="33">
        <v>0</v>
      </c>
      <c r="O256" s="33">
        <v>0</v>
      </c>
      <c r="P256" s="33">
        <v>0</v>
      </c>
      <c r="Q256" s="33">
        <v>0</v>
      </c>
    </row>
    <row r="257" spans="1:17" x14ac:dyDescent="0.2">
      <c r="A257" s="32">
        <v>5</v>
      </c>
      <c r="B257" s="32" t="s">
        <v>2491</v>
      </c>
      <c r="D257" s="33">
        <v>43926568.659999996</v>
      </c>
      <c r="F257" s="33">
        <v>29838195.829999998</v>
      </c>
      <c r="H257" s="33">
        <v>14088372.83</v>
      </c>
      <c r="I257" s="33">
        <v>0</v>
      </c>
      <c r="L257" s="33">
        <v>0</v>
      </c>
      <c r="N257" s="33">
        <v>0</v>
      </c>
      <c r="O257" s="33">
        <v>0</v>
      </c>
      <c r="P257" s="33">
        <v>0</v>
      </c>
      <c r="Q257" s="33">
        <v>0</v>
      </c>
    </row>
    <row r="258" spans="1:17" x14ac:dyDescent="0.2">
      <c r="A258" s="32">
        <v>6</v>
      </c>
      <c r="B258" s="32" t="s">
        <v>2492</v>
      </c>
      <c r="D258" s="33">
        <v>10746104.729999999</v>
      </c>
      <c r="F258" s="33">
        <v>10423249.619999999</v>
      </c>
      <c r="H258" s="33">
        <v>322855.11</v>
      </c>
      <c r="I258" s="33">
        <v>0</v>
      </c>
      <c r="L258" s="33">
        <v>0</v>
      </c>
      <c r="N258" s="33">
        <v>0</v>
      </c>
      <c r="O258" s="33">
        <v>0</v>
      </c>
      <c r="P258" s="33">
        <v>0</v>
      </c>
      <c r="Q258" s="33">
        <v>0</v>
      </c>
    </row>
    <row r="259" spans="1:17" x14ac:dyDescent="0.2">
      <c r="A259" s="32">
        <v>7</v>
      </c>
      <c r="B259" s="32" t="s">
        <v>2493</v>
      </c>
      <c r="D259" s="78">
        <v>111947307.06</v>
      </c>
      <c r="E259" s="82"/>
      <c r="F259" s="78">
        <v>105659336.56</v>
      </c>
      <c r="G259" s="82"/>
      <c r="H259" s="78">
        <v>6287970.5</v>
      </c>
      <c r="I259" s="78">
        <v>0</v>
      </c>
      <c r="J259" s="78"/>
      <c r="K259" s="78"/>
      <c r="L259" s="78">
        <v>0</v>
      </c>
      <c r="M259" s="78"/>
      <c r="N259" s="78">
        <v>0</v>
      </c>
      <c r="O259" s="78">
        <v>0</v>
      </c>
      <c r="P259" s="78">
        <v>0</v>
      </c>
      <c r="Q259" s="78">
        <v>0</v>
      </c>
    </row>
    <row r="260" spans="1:17" x14ac:dyDescent="0.2">
      <c r="A260" s="32">
        <v>8</v>
      </c>
      <c r="B260" s="32" t="s">
        <v>2494</v>
      </c>
      <c r="D260" s="78">
        <v>4874900.92</v>
      </c>
      <c r="E260" s="82"/>
      <c r="F260" s="78">
        <v>4703886.5199999996</v>
      </c>
      <c r="G260" s="82"/>
      <c r="H260" s="78">
        <v>171014.39999999999</v>
      </c>
      <c r="I260" s="78">
        <v>0</v>
      </c>
      <c r="J260" s="78"/>
      <c r="K260" s="78"/>
      <c r="L260" s="78">
        <v>0</v>
      </c>
      <c r="M260" s="78"/>
      <c r="N260" s="78">
        <v>0</v>
      </c>
      <c r="O260" s="78">
        <v>0</v>
      </c>
      <c r="P260" s="78">
        <v>0</v>
      </c>
      <c r="Q260" s="78">
        <v>0</v>
      </c>
    </row>
    <row r="261" spans="1:17" x14ac:dyDescent="0.2">
      <c r="A261" s="32">
        <v>9</v>
      </c>
      <c r="B261" s="32" t="s">
        <v>2495</v>
      </c>
      <c r="D261" s="78">
        <v>98298884.889999986</v>
      </c>
      <c r="E261" s="82"/>
      <c r="F261" s="78">
        <v>0</v>
      </c>
      <c r="G261" s="82"/>
      <c r="H261" s="78">
        <v>0</v>
      </c>
      <c r="I261" s="78">
        <v>98298884.889999986</v>
      </c>
      <c r="J261" s="78"/>
      <c r="K261" s="78"/>
      <c r="L261" s="78">
        <v>0</v>
      </c>
      <c r="M261" s="78"/>
      <c r="N261" s="78">
        <v>98298884.889999986</v>
      </c>
      <c r="O261" s="78">
        <v>31838591.359999999</v>
      </c>
      <c r="P261" s="78">
        <v>66460293.529999994</v>
      </c>
      <c r="Q261" s="78">
        <v>0</v>
      </c>
    </row>
    <row r="262" spans="1:17" x14ac:dyDescent="0.2">
      <c r="A262" s="32">
        <v>10</v>
      </c>
      <c r="B262" s="32" t="s">
        <v>75</v>
      </c>
      <c r="D262" s="78">
        <v>0</v>
      </c>
      <c r="E262" s="82"/>
      <c r="F262" s="78">
        <v>0</v>
      </c>
      <c r="G262" s="82"/>
      <c r="H262" s="78">
        <v>0</v>
      </c>
      <c r="I262" s="78">
        <v>0</v>
      </c>
      <c r="J262" s="78"/>
      <c r="K262" s="78"/>
      <c r="L262" s="78">
        <v>0</v>
      </c>
      <c r="M262" s="78"/>
      <c r="N262" s="78">
        <v>0</v>
      </c>
      <c r="O262" s="78">
        <v>0</v>
      </c>
      <c r="P262" s="78">
        <v>0</v>
      </c>
      <c r="Q262" s="78">
        <v>0</v>
      </c>
    </row>
    <row r="263" spans="1:17" x14ac:dyDescent="0.2">
      <c r="A263" s="32">
        <v>11</v>
      </c>
      <c r="B263" s="32" t="s">
        <v>2496</v>
      </c>
      <c r="D263" s="78">
        <v>0</v>
      </c>
      <c r="E263" s="82"/>
      <c r="F263" s="78">
        <v>0</v>
      </c>
      <c r="G263" s="82"/>
      <c r="H263" s="78">
        <v>0</v>
      </c>
      <c r="I263" s="78">
        <v>0</v>
      </c>
      <c r="J263" s="78"/>
      <c r="K263" s="78"/>
      <c r="L263" s="78">
        <v>0</v>
      </c>
      <c r="M263" s="78"/>
      <c r="N263" s="78">
        <v>0</v>
      </c>
      <c r="O263" s="78">
        <v>0</v>
      </c>
      <c r="P263" s="78">
        <v>0</v>
      </c>
      <c r="Q263" s="78">
        <v>0</v>
      </c>
    </row>
    <row r="264" spans="1:17" x14ac:dyDescent="0.2">
      <c r="A264" s="32">
        <v>12</v>
      </c>
      <c r="D264" s="78"/>
      <c r="E264" s="82"/>
      <c r="F264" s="78"/>
      <c r="G264" s="82"/>
      <c r="H264" s="78"/>
      <c r="I264" s="78"/>
      <c r="J264" s="78"/>
      <c r="K264" s="78"/>
      <c r="L264" s="78"/>
      <c r="M264" s="78"/>
      <c r="N264" s="78"/>
      <c r="O264" s="78"/>
      <c r="P264" s="78"/>
      <c r="Q264" s="78"/>
    </row>
    <row r="265" spans="1:17" x14ac:dyDescent="0.2">
      <c r="A265" s="32">
        <v>13</v>
      </c>
      <c r="D265" s="78"/>
      <c r="E265" s="82"/>
      <c r="F265" s="78"/>
      <c r="G265" s="82"/>
      <c r="H265" s="78"/>
      <c r="I265" s="78"/>
      <c r="J265" s="78"/>
      <c r="K265" s="78"/>
      <c r="L265" s="78"/>
      <c r="M265" s="78"/>
      <c r="N265" s="78"/>
      <c r="O265" s="78"/>
      <c r="P265" s="78"/>
      <c r="Q265" s="78"/>
    </row>
    <row r="266" spans="1:17" x14ac:dyDescent="0.2">
      <c r="D266" s="78"/>
      <c r="E266" s="82"/>
      <c r="F266" s="78"/>
      <c r="G266" s="82"/>
      <c r="H266" s="78"/>
      <c r="I266" s="78"/>
      <c r="J266" s="78"/>
      <c r="K266" s="78"/>
      <c r="L266" s="78"/>
      <c r="M266" s="78"/>
      <c r="N266" s="78"/>
      <c r="O266" s="78"/>
      <c r="P266" s="78"/>
      <c r="Q266" s="78"/>
    </row>
    <row r="267" spans="1:17" x14ac:dyDescent="0.2">
      <c r="D267" s="78"/>
      <c r="E267" s="82"/>
      <c r="F267" s="78"/>
      <c r="G267" s="82"/>
      <c r="H267" s="78"/>
      <c r="I267" s="78"/>
      <c r="J267" s="78"/>
      <c r="K267" s="78"/>
      <c r="L267" s="78"/>
      <c r="M267" s="78"/>
      <c r="N267" s="78"/>
      <c r="O267" s="78"/>
      <c r="P267" s="78"/>
      <c r="Q267" s="78"/>
    </row>
    <row r="268" spans="1:17" x14ac:dyDescent="0.2">
      <c r="D268" s="78"/>
      <c r="E268" s="82"/>
      <c r="F268" s="78"/>
      <c r="G268" s="82"/>
      <c r="H268" s="78"/>
      <c r="I268" s="78"/>
      <c r="J268" s="78"/>
      <c r="K268" s="78"/>
      <c r="L268" s="78"/>
      <c r="M268" s="78"/>
      <c r="N268" s="78"/>
      <c r="O268" s="78"/>
      <c r="P268" s="78"/>
      <c r="Q268" s="78"/>
    </row>
    <row r="269" spans="1:17" x14ac:dyDescent="0.2">
      <c r="D269" s="78"/>
      <c r="E269" s="82"/>
      <c r="F269" s="78"/>
      <c r="G269" s="82"/>
      <c r="H269" s="78"/>
      <c r="I269" s="78"/>
      <c r="J269" s="78"/>
      <c r="K269" s="78"/>
      <c r="L269" s="78"/>
      <c r="M269" s="78"/>
      <c r="N269" s="78"/>
      <c r="O269" s="78"/>
      <c r="P269" s="78"/>
      <c r="Q269" s="78"/>
    </row>
    <row r="270" spans="1:17" x14ac:dyDescent="0.2">
      <c r="D270" s="78"/>
      <c r="E270" s="82"/>
      <c r="F270" s="78"/>
      <c r="G270" s="82"/>
      <c r="H270" s="78"/>
      <c r="I270" s="78"/>
      <c r="J270" s="78"/>
      <c r="K270" s="78"/>
      <c r="L270" s="78"/>
      <c r="M270" s="78"/>
      <c r="N270" s="78"/>
      <c r="O270" s="78"/>
      <c r="P270" s="78"/>
      <c r="Q270" s="78"/>
    </row>
    <row r="271" spans="1:17" x14ac:dyDescent="0.2">
      <c r="B271" s="32" t="s">
        <v>76</v>
      </c>
      <c r="D271" s="78"/>
      <c r="E271" s="82"/>
      <c r="F271" s="78"/>
      <c r="G271" s="82"/>
      <c r="H271" s="78"/>
      <c r="I271" s="78"/>
      <c r="J271" s="78"/>
      <c r="K271" s="78"/>
      <c r="L271" s="78"/>
      <c r="M271" s="78"/>
      <c r="N271" s="78"/>
      <c r="O271" s="78"/>
      <c r="P271" s="78"/>
      <c r="Q271" s="78"/>
    </row>
    <row r="272" spans="1:17" x14ac:dyDescent="0.2">
      <c r="D272" s="78"/>
      <c r="E272" s="82"/>
      <c r="F272" s="78"/>
      <c r="G272" s="82"/>
      <c r="H272" s="78"/>
      <c r="I272" s="78"/>
      <c r="J272" s="78"/>
      <c r="K272" s="78"/>
      <c r="L272" s="78"/>
      <c r="M272" s="78"/>
      <c r="N272" s="78"/>
      <c r="O272" s="78"/>
      <c r="P272" s="78"/>
      <c r="Q272" s="78"/>
    </row>
    <row r="273" spans="1:17" x14ac:dyDescent="0.2">
      <c r="B273" s="32" t="s">
        <v>77</v>
      </c>
      <c r="D273" s="78"/>
      <c r="E273" s="82"/>
      <c r="F273" s="78"/>
      <c r="G273" s="82"/>
      <c r="H273" s="78"/>
      <c r="I273" s="78"/>
      <c r="J273" s="78"/>
      <c r="K273" s="78"/>
      <c r="L273" s="78"/>
      <c r="M273" s="78"/>
      <c r="N273" s="78"/>
      <c r="O273" s="78"/>
      <c r="P273" s="78"/>
      <c r="Q273" s="78"/>
    </row>
    <row r="274" spans="1:17" x14ac:dyDescent="0.2">
      <c r="B274" s="32" t="s">
        <v>1670</v>
      </c>
      <c r="D274" s="78"/>
      <c r="E274" s="82"/>
      <c r="F274" s="78"/>
      <c r="G274" s="82"/>
      <c r="H274" s="78"/>
      <c r="I274" s="78"/>
      <c r="J274" s="78"/>
      <c r="K274" s="78"/>
      <c r="L274" s="78"/>
      <c r="M274" s="78"/>
      <c r="N274" s="78"/>
      <c r="O274" s="78"/>
      <c r="P274" s="78"/>
      <c r="Q274" s="78"/>
    </row>
    <row r="275" spans="1:17" x14ac:dyDescent="0.2">
      <c r="B275" s="32" t="s">
        <v>1671</v>
      </c>
      <c r="D275" s="78"/>
      <c r="E275" s="82"/>
      <c r="F275" s="78"/>
      <c r="G275" s="82"/>
      <c r="H275" s="78"/>
      <c r="I275" s="78"/>
      <c r="J275" s="78"/>
      <c r="K275" s="78"/>
      <c r="L275" s="78"/>
      <c r="M275" s="78"/>
      <c r="N275" s="78"/>
      <c r="O275" s="78"/>
      <c r="P275" s="78"/>
      <c r="Q275" s="78"/>
    </row>
    <row r="276" spans="1:17" x14ac:dyDescent="0.2">
      <c r="A276" s="32">
        <v>1</v>
      </c>
      <c r="B276" s="32" t="s">
        <v>1673</v>
      </c>
      <c r="C276" s="32" t="s">
        <v>1674</v>
      </c>
      <c r="D276" s="78">
        <v>1</v>
      </c>
      <c r="E276" s="82"/>
      <c r="F276" s="78">
        <v>0.86549017314247356</v>
      </c>
      <c r="G276" s="82"/>
      <c r="H276" s="78">
        <v>5.0827668687646078E-2</v>
      </c>
      <c r="I276" s="78">
        <v>8.3682158169880339E-2</v>
      </c>
      <c r="J276" s="78"/>
      <c r="K276" s="78"/>
      <c r="L276" s="78">
        <v>7.6524644215064863E-6</v>
      </c>
      <c r="M276" s="78"/>
      <c r="N276" s="78">
        <v>8.3674505705458826E-2</v>
      </c>
      <c r="O276" s="78">
        <v>2.6108568792375522E-2</v>
      </c>
      <c r="P276" s="78">
        <v>5.7565936913083308E-2</v>
      </c>
      <c r="Q276" s="78">
        <v>0</v>
      </c>
    </row>
    <row r="277" spans="1:17" x14ac:dyDescent="0.2">
      <c r="A277" s="32">
        <v>2</v>
      </c>
      <c r="B277" s="32" t="s">
        <v>1675</v>
      </c>
      <c r="C277" s="32" t="s">
        <v>1676</v>
      </c>
      <c r="D277" s="78">
        <v>1</v>
      </c>
      <c r="E277" s="82"/>
      <c r="F277" s="78">
        <v>0</v>
      </c>
      <c r="G277" s="82"/>
      <c r="H277" s="78">
        <v>0.37789477320339659</v>
      </c>
      <c r="I277" s="78">
        <v>0.62210522679660341</v>
      </c>
      <c r="J277" s="78"/>
      <c r="K277" s="78"/>
      <c r="L277" s="78">
        <v>0</v>
      </c>
      <c r="M277" s="78"/>
      <c r="N277" s="78">
        <v>0.62210522679660341</v>
      </c>
      <c r="O277" s="78">
        <v>0.19411261498322621</v>
      </c>
      <c r="P277" s="78">
        <v>0.42799261181337717</v>
      </c>
      <c r="Q277" s="78">
        <v>0</v>
      </c>
    </row>
    <row r="278" spans="1:17" x14ac:dyDescent="0.2">
      <c r="A278" s="32">
        <v>3</v>
      </c>
      <c r="B278" s="32" t="s">
        <v>1677</v>
      </c>
      <c r="C278" s="32" t="s">
        <v>1678</v>
      </c>
      <c r="D278" s="78">
        <v>1</v>
      </c>
      <c r="E278" s="82"/>
      <c r="F278" s="78">
        <v>0</v>
      </c>
      <c r="G278" s="82"/>
      <c r="H278" s="78">
        <v>1</v>
      </c>
      <c r="I278" s="78">
        <v>0</v>
      </c>
      <c r="J278" s="78"/>
      <c r="K278" s="78"/>
      <c r="L278" s="78">
        <v>0</v>
      </c>
      <c r="M278" s="78"/>
      <c r="N278" s="78">
        <v>0</v>
      </c>
      <c r="O278" s="78">
        <v>0</v>
      </c>
      <c r="P278" s="78">
        <v>0</v>
      </c>
      <c r="Q278" s="78">
        <v>0</v>
      </c>
    </row>
    <row r="279" spans="1:17" x14ac:dyDescent="0.2">
      <c r="A279" s="32">
        <v>4</v>
      </c>
      <c r="B279" s="32" t="s">
        <v>1679</v>
      </c>
      <c r="C279" s="32" t="s">
        <v>1680</v>
      </c>
      <c r="D279" s="78">
        <v>1</v>
      </c>
      <c r="E279" s="82"/>
      <c r="F279" s="78">
        <v>0.91184405870747276</v>
      </c>
      <c r="G279" s="82"/>
      <c r="H279" s="78">
        <v>0</v>
      </c>
      <c r="I279" s="78">
        <v>8.8155941292527268E-2</v>
      </c>
      <c r="J279" s="78"/>
      <c r="K279" s="78"/>
      <c r="L279" s="78">
        <v>0</v>
      </c>
      <c r="M279" s="78"/>
      <c r="N279" s="78">
        <v>8.8155941292527268E-2</v>
      </c>
      <c r="O279" s="78">
        <v>2.7506890399741083E-2</v>
      </c>
      <c r="P279" s="78">
        <v>6.0649050892786188E-2</v>
      </c>
      <c r="Q279" s="78">
        <v>0</v>
      </c>
    </row>
    <row r="280" spans="1:17" x14ac:dyDescent="0.2">
      <c r="A280" s="32">
        <v>5</v>
      </c>
      <c r="B280" s="32" t="s">
        <v>1681</v>
      </c>
      <c r="C280" s="32" t="s">
        <v>1682</v>
      </c>
      <c r="D280" s="78">
        <v>1</v>
      </c>
      <c r="E280" s="82"/>
      <c r="F280" s="78">
        <v>0</v>
      </c>
      <c r="G280" s="82"/>
      <c r="H280" s="78">
        <v>0</v>
      </c>
      <c r="I280" s="78">
        <v>1</v>
      </c>
      <c r="J280" s="78"/>
      <c r="K280" s="78"/>
      <c r="L280" s="78">
        <v>0</v>
      </c>
      <c r="M280" s="78"/>
      <c r="N280" s="78">
        <v>1</v>
      </c>
      <c r="O280" s="78">
        <v>0.31202537227145194</v>
      </c>
      <c r="P280" s="78">
        <v>0.687974627728548</v>
      </c>
      <c r="Q280" s="78">
        <v>0</v>
      </c>
    </row>
    <row r="281" spans="1:17" x14ac:dyDescent="0.2">
      <c r="A281" s="32">
        <v>6</v>
      </c>
      <c r="B281" s="32" t="s">
        <v>1683</v>
      </c>
      <c r="C281" s="32" t="s">
        <v>1684</v>
      </c>
      <c r="D281" s="78">
        <v>1</v>
      </c>
      <c r="E281" s="82"/>
      <c r="F281" s="78">
        <v>0.91183670719290888</v>
      </c>
      <c r="G281" s="82"/>
      <c r="H281" s="78">
        <v>0</v>
      </c>
      <c r="I281" s="78">
        <v>8.8163292807091093E-2</v>
      </c>
      <c r="J281" s="78"/>
      <c r="K281" s="78"/>
      <c r="L281" s="78">
        <v>8.0622497823192552E-6</v>
      </c>
      <c r="M281" s="78"/>
      <c r="N281" s="78">
        <v>8.815523055730877E-2</v>
      </c>
      <c r="O281" s="78">
        <v>2.7506668632319948E-2</v>
      </c>
      <c r="P281" s="78">
        <v>6.0648561924988825E-2</v>
      </c>
      <c r="Q281" s="78">
        <v>0</v>
      </c>
    </row>
    <row r="282" spans="1:17" x14ac:dyDescent="0.2">
      <c r="B282" s="32" t="s">
        <v>1685</v>
      </c>
      <c r="D282" s="78"/>
      <c r="E282" s="82"/>
      <c r="F282" s="78"/>
      <c r="G282" s="82"/>
      <c r="H282" s="78"/>
      <c r="I282" s="78"/>
      <c r="J282" s="78"/>
      <c r="K282" s="78"/>
      <c r="L282" s="78"/>
      <c r="M282" s="78"/>
      <c r="N282" s="78"/>
      <c r="O282" s="78"/>
      <c r="P282" s="78"/>
      <c r="Q282" s="78"/>
    </row>
    <row r="283" spans="1:17" x14ac:dyDescent="0.2">
      <c r="A283" s="32">
        <v>7</v>
      </c>
      <c r="B283" s="32" t="s">
        <v>1686</v>
      </c>
      <c r="C283" s="32" t="s">
        <v>1687</v>
      </c>
      <c r="D283" s="78">
        <v>1</v>
      </c>
      <c r="E283" s="82"/>
      <c r="F283" s="78">
        <v>0.86549017314247356</v>
      </c>
      <c r="G283" s="82"/>
      <c r="H283" s="78">
        <v>5.0827668687646078E-2</v>
      </c>
      <c r="I283" s="78">
        <v>8.3682158169880339E-2</v>
      </c>
      <c r="J283" s="78"/>
      <c r="K283" s="78"/>
      <c r="L283" s="78">
        <v>7.6524644215064863E-6</v>
      </c>
      <c r="M283" s="78"/>
      <c r="N283" s="78">
        <v>8.3674505705458826E-2</v>
      </c>
      <c r="O283" s="78">
        <v>2.6108568792375522E-2</v>
      </c>
      <c r="P283" s="78">
        <v>5.7565936913083308E-2</v>
      </c>
      <c r="Q283" s="78">
        <v>0</v>
      </c>
    </row>
    <row r="284" spans="1:17" x14ac:dyDescent="0.2">
      <c r="A284" s="32">
        <v>8</v>
      </c>
      <c r="B284" s="32" t="s">
        <v>1688</v>
      </c>
      <c r="C284" s="32" t="s">
        <v>1689</v>
      </c>
      <c r="D284" s="78">
        <v>1</v>
      </c>
      <c r="E284" s="82"/>
      <c r="F284" s="78">
        <v>0</v>
      </c>
      <c r="G284" s="82"/>
      <c r="H284" s="78">
        <v>1</v>
      </c>
      <c r="I284" s="78">
        <v>0</v>
      </c>
      <c r="J284" s="78"/>
      <c r="K284" s="78"/>
      <c r="L284" s="78">
        <v>0</v>
      </c>
      <c r="M284" s="78"/>
      <c r="N284" s="78">
        <v>0</v>
      </c>
      <c r="O284" s="78">
        <v>0</v>
      </c>
      <c r="P284" s="78">
        <v>0</v>
      </c>
      <c r="Q284" s="78">
        <v>0</v>
      </c>
    </row>
    <row r="285" spans="1:17" x14ac:dyDescent="0.2">
      <c r="A285" s="32">
        <v>9</v>
      </c>
      <c r="B285" s="32" t="s">
        <v>2388</v>
      </c>
      <c r="C285" s="32" t="s">
        <v>2389</v>
      </c>
      <c r="D285" s="78">
        <v>1</v>
      </c>
      <c r="E285" s="82"/>
      <c r="F285" s="78">
        <v>0.94452263800517244</v>
      </c>
      <c r="G285" s="82"/>
      <c r="H285" s="78">
        <v>5.5469010743586462E-2</v>
      </c>
      <c r="I285" s="78">
        <v>8.3512512411301513E-6</v>
      </c>
      <c r="J285" s="78"/>
      <c r="K285" s="78"/>
      <c r="L285" s="78">
        <v>8.3512512411301513E-6</v>
      </c>
      <c r="M285" s="78"/>
      <c r="N285" s="78">
        <v>0</v>
      </c>
      <c r="O285" s="78">
        <v>0</v>
      </c>
      <c r="P285" s="78">
        <v>0</v>
      </c>
      <c r="Q285" s="78">
        <v>0</v>
      </c>
    </row>
    <row r="286" spans="1:17" x14ac:dyDescent="0.2">
      <c r="A286" s="32">
        <v>10</v>
      </c>
      <c r="B286" s="32" t="s">
        <v>1690</v>
      </c>
      <c r="C286" s="32" t="s">
        <v>1691</v>
      </c>
      <c r="D286" s="78">
        <v>1</v>
      </c>
      <c r="E286" s="82"/>
      <c r="F286" s="78">
        <v>0</v>
      </c>
      <c r="G286" s="82"/>
      <c r="H286" s="78">
        <v>0.37789477320339659</v>
      </c>
      <c r="I286" s="78">
        <v>0.62210522679660341</v>
      </c>
      <c r="J286" s="78"/>
      <c r="K286" s="78"/>
      <c r="L286" s="78">
        <v>0</v>
      </c>
      <c r="M286" s="78"/>
      <c r="N286" s="78">
        <v>0.62210522679660341</v>
      </c>
      <c r="O286" s="78">
        <v>0.19411261498322621</v>
      </c>
      <c r="P286" s="78">
        <v>0.42799261181337717</v>
      </c>
      <c r="Q286" s="78">
        <v>0</v>
      </c>
    </row>
    <row r="287" spans="1:17" x14ac:dyDescent="0.2">
      <c r="A287" s="32">
        <v>11</v>
      </c>
      <c r="B287" s="32" t="s">
        <v>1692</v>
      </c>
      <c r="C287" s="32" t="s">
        <v>1693</v>
      </c>
      <c r="D287" s="78">
        <v>1</v>
      </c>
      <c r="E287" s="82"/>
      <c r="F287" s="78">
        <v>0</v>
      </c>
      <c r="G287" s="82"/>
      <c r="H287" s="78">
        <v>0</v>
      </c>
      <c r="I287" s="78">
        <v>1</v>
      </c>
      <c r="J287" s="78"/>
      <c r="K287" s="78"/>
      <c r="L287" s="78">
        <v>0</v>
      </c>
      <c r="M287" s="78"/>
      <c r="N287" s="78">
        <v>1</v>
      </c>
      <c r="O287" s="78">
        <v>0.31202537227145194</v>
      </c>
      <c r="P287" s="78">
        <v>0.687974627728548</v>
      </c>
      <c r="Q287" s="78">
        <v>0</v>
      </c>
    </row>
    <row r="288" spans="1:17" x14ac:dyDescent="0.2">
      <c r="D288" s="78"/>
      <c r="E288" s="82"/>
      <c r="F288" s="78"/>
      <c r="G288" s="82"/>
      <c r="H288" s="78"/>
      <c r="I288" s="78"/>
      <c r="J288" s="78"/>
      <c r="K288" s="78"/>
      <c r="L288" s="78"/>
      <c r="M288" s="78"/>
      <c r="N288" s="78"/>
      <c r="O288" s="78"/>
      <c r="P288" s="78"/>
      <c r="Q288" s="78"/>
    </row>
    <row r="289" spans="1:17" x14ac:dyDescent="0.2">
      <c r="B289" s="32" t="s">
        <v>1694</v>
      </c>
      <c r="D289" s="78"/>
      <c r="E289" s="82"/>
      <c r="F289" s="78"/>
      <c r="G289" s="82"/>
      <c r="H289" s="78"/>
      <c r="I289" s="78"/>
      <c r="J289" s="78"/>
      <c r="K289" s="78"/>
      <c r="L289" s="78"/>
      <c r="M289" s="78"/>
      <c r="N289" s="78"/>
      <c r="O289" s="78"/>
      <c r="P289" s="78"/>
      <c r="Q289" s="78"/>
    </row>
    <row r="290" spans="1:17" x14ac:dyDescent="0.2">
      <c r="A290" s="32">
        <v>12</v>
      </c>
      <c r="B290" s="32" t="s">
        <v>2390</v>
      </c>
      <c r="C290" s="32" t="s">
        <v>2391</v>
      </c>
      <c r="D290" s="78">
        <v>1</v>
      </c>
      <c r="E290" s="82"/>
      <c r="F290" s="78">
        <v>0.99820872171013053</v>
      </c>
      <c r="G290" s="82"/>
      <c r="H290" s="78">
        <v>0</v>
      </c>
      <c r="I290" s="78">
        <v>1.7912782898694723E-3</v>
      </c>
      <c r="J290" s="78"/>
      <c r="K290" s="78"/>
      <c r="L290" s="78">
        <v>0</v>
      </c>
      <c r="M290" s="78"/>
      <c r="N290" s="78">
        <v>1.7912782898694723E-3</v>
      </c>
      <c r="O290" s="78">
        <v>1.7912782898694723E-3</v>
      </c>
      <c r="P290" s="78">
        <v>0</v>
      </c>
      <c r="Q290" s="78">
        <v>0</v>
      </c>
    </row>
    <row r="291" spans="1:17" x14ac:dyDescent="0.2">
      <c r="A291" s="32">
        <v>13</v>
      </c>
      <c r="B291" s="32" t="s">
        <v>2392</v>
      </c>
      <c r="C291" s="32" t="s">
        <v>2393</v>
      </c>
      <c r="D291" s="78">
        <v>1</v>
      </c>
      <c r="E291" s="82"/>
      <c r="F291" s="78">
        <v>0.96211871475768407</v>
      </c>
      <c r="G291" s="82"/>
      <c r="H291" s="78">
        <v>0</v>
      </c>
      <c r="I291" s="78">
        <v>3.788128524231589E-2</v>
      </c>
      <c r="J291" s="78"/>
      <c r="K291" s="78"/>
      <c r="L291" s="78">
        <v>0</v>
      </c>
      <c r="M291" s="78"/>
      <c r="N291" s="78">
        <v>3.788128524231589E-2</v>
      </c>
      <c r="O291" s="78">
        <v>3.788128524231589E-2</v>
      </c>
      <c r="P291" s="78">
        <v>0</v>
      </c>
      <c r="Q291" s="78">
        <v>0</v>
      </c>
    </row>
    <row r="292" spans="1:17" x14ac:dyDescent="0.2">
      <c r="A292" s="32">
        <v>14</v>
      </c>
      <c r="B292" s="32" t="s">
        <v>2394</v>
      </c>
      <c r="C292" s="32" t="s">
        <v>2395</v>
      </c>
      <c r="D292" s="78">
        <v>1</v>
      </c>
      <c r="E292" s="82"/>
      <c r="F292" s="78">
        <v>0.97673477413754228</v>
      </c>
      <c r="G292" s="82"/>
      <c r="H292" s="78">
        <v>0</v>
      </c>
      <c r="I292" s="78">
        <v>2.3265225862457703E-2</v>
      </c>
      <c r="J292" s="78"/>
      <c r="K292" s="78"/>
      <c r="L292" s="78">
        <v>0</v>
      </c>
      <c r="M292" s="78"/>
      <c r="N292" s="78">
        <v>2.3265225862457703E-2</v>
      </c>
      <c r="O292" s="78">
        <v>2.3265225862457703E-2</v>
      </c>
      <c r="P292" s="78">
        <v>0</v>
      </c>
      <c r="Q292" s="78">
        <v>0</v>
      </c>
    </row>
    <row r="293" spans="1:17" x14ac:dyDescent="0.2">
      <c r="A293" s="32">
        <v>15</v>
      </c>
      <c r="B293" s="32" t="s">
        <v>2396</v>
      </c>
      <c r="C293" s="32" t="s">
        <v>2397</v>
      </c>
      <c r="D293" s="78">
        <v>1</v>
      </c>
      <c r="E293" s="82"/>
      <c r="F293" s="78">
        <v>1</v>
      </c>
      <c r="G293" s="82"/>
      <c r="H293" s="78">
        <v>0</v>
      </c>
      <c r="I293" s="78">
        <v>0</v>
      </c>
      <c r="J293" s="78"/>
      <c r="K293" s="78"/>
      <c r="L293" s="78">
        <v>0</v>
      </c>
      <c r="M293" s="78"/>
      <c r="N293" s="78">
        <v>0</v>
      </c>
      <c r="O293" s="78">
        <v>0</v>
      </c>
      <c r="P293" s="78">
        <v>0</v>
      </c>
      <c r="Q293" s="78">
        <v>0</v>
      </c>
    </row>
    <row r="294" spans="1:17" x14ac:dyDescent="0.2">
      <c r="A294" s="32">
        <v>16</v>
      </c>
      <c r="B294" s="32" t="s">
        <v>2398</v>
      </c>
      <c r="C294" s="32" t="s">
        <v>2399</v>
      </c>
      <c r="D294" s="78">
        <v>1</v>
      </c>
      <c r="E294" s="82"/>
      <c r="F294" s="78">
        <v>1</v>
      </c>
      <c r="G294" s="82"/>
      <c r="H294" s="78">
        <v>0</v>
      </c>
      <c r="I294" s="78">
        <v>0</v>
      </c>
      <c r="J294" s="78"/>
      <c r="K294" s="78"/>
      <c r="L294" s="78">
        <v>0</v>
      </c>
      <c r="M294" s="78"/>
      <c r="N294" s="78">
        <v>0</v>
      </c>
      <c r="O294" s="78">
        <v>0</v>
      </c>
      <c r="P294" s="78">
        <v>0</v>
      </c>
      <c r="Q294" s="78">
        <v>0</v>
      </c>
    </row>
    <row r="295" spans="1:17" x14ac:dyDescent="0.2">
      <c r="A295" s="32">
        <v>17</v>
      </c>
      <c r="B295" s="32" t="s">
        <v>2400</v>
      </c>
      <c r="C295" s="32" t="s">
        <v>2401</v>
      </c>
      <c r="D295" s="78">
        <v>1</v>
      </c>
      <c r="E295" s="82"/>
      <c r="F295" s="78">
        <v>1</v>
      </c>
      <c r="G295" s="82"/>
      <c r="H295" s="78">
        <v>0</v>
      </c>
      <c r="I295" s="78">
        <v>0</v>
      </c>
      <c r="J295" s="78"/>
      <c r="K295" s="78"/>
      <c r="L295" s="78">
        <v>0</v>
      </c>
      <c r="M295" s="78"/>
      <c r="N295" s="78">
        <v>0</v>
      </c>
      <c r="O295" s="78">
        <v>0</v>
      </c>
      <c r="P295" s="78">
        <v>0</v>
      </c>
      <c r="Q295" s="78">
        <v>0</v>
      </c>
    </row>
    <row r="296" spans="1:17" x14ac:dyDescent="0.2">
      <c r="A296" s="32">
        <v>18</v>
      </c>
      <c r="B296" s="32" t="s">
        <v>2402</v>
      </c>
      <c r="C296" s="32" t="s">
        <v>2403</v>
      </c>
      <c r="D296" s="78">
        <v>1</v>
      </c>
      <c r="E296" s="82"/>
      <c r="F296" s="78">
        <v>1</v>
      </c>
      <c r="G296" s="82"/>
      <c r="H296" s="78">
        <v>0</v>
      </c>
      <c r="I296" s="78">
        <v>0</v>
      </c>
      <c r="J296" s="78"/>
      <c r="K296" s="78"/>
      <c r="L296" s="78">
        <v>0</v>
      </c>
      <c r="M296" s="78"/>
      <c r="N296" s="78">
        <v>0</v>
      </c>
      <c r="O296" s="78">
        <v>0</v>
      </c>
      <c r="P296" s="78">
        <v>0</v>
      </c>
      <c r="Q296" s="78">
        <v>0</v>
      </c>
    </row>
    <row r="297" spans="1:17" x14ac:dyDescent="0.2">
      <c r="A297" s="32">
        <v>19</v>
      </c>
      <c r="B297" s="32" t="s">
        <v>2404</v>
      </c>
      <c r="C297" s="32" t="s">
        <v>1778</v>
      </c>
      <c r="D297" s="78">
        <v>1</v>
      </c>
      <c r="E297" s="82"/>
      <c r="F297" s="78">
        <v>1</v>
      </c>
      <c r="G297" s="82"/>
      <c r="H297" s="78">
        <v>0</v>
      </c>
      <c r="I297" s="78">
        <v>0</v>
      </c>
      <c r="J297" s="78"/>
      <c r="K297" s="78"/>
      <c r="L297" s="78">
        <v>0</v>
      </c>
      <c r="M297" s="78"/>
      <c r="N297" s="78">
        <v>0</v>
      </c>
      <c r="O297" s="78">
        <v>0</v>
      </c>
      <c r="P297" s="78">
        <v>0</v>
      </c>
      <c r="Q297" s="78">
        <v>0</v>
      </c>
    </row>
    <row r="298" spans="1:17" x14ac:dyDescent="0.2">
      <c r="A298" s="32">
        <v>20</v>
      </c>
      <c r="B298" s="32" t="s">
        <v>2405</v>
      </c>
      <c r="C298" s="32" t="s">
        <v>2275</v>
      </c>
      <c r="D298" s="78">
        <v>1</v>
      </c>
      <c r="E298" s="82"/>
      <c r="F298" s="78">
        <v>1</v>
      </c>
      <c r="G298" s="82"/>
      <c r="H298" s="78">
        <v>0</v>
      </c>
      <c r="I298" s="78">
        <v>0</v>
      </c>
      <c r="J298" s="78"/>
      <c r="K298" s="78"/>
      <c r="L298" s="78">
        <v>0</v>
      </c>
      <c r="M298" s="78"/>
      <c r="N298" s="78">
        <v>0</v>
      </c>
      <c r="O298" s="78">
        <v>0</v>
      </c>
      <c r="P298" s="78">
        <v>0</v>
      </c>
      <c r="Q298" s="78">
        <v>0</v>
      </c>
    </row>
    <row r="299" spans="1:17" ht="12.75" x14ac:dyDescent="0.2">
      <c r="A299" s="32">
        <v>21</v>
      </c>
      <c r="B299" s="32" t="s">
        <v>2406</v>
      </c>
      <c r="C299" s="32" t="s">
        <v>2407</v>
      </c>
      <c r="D299" s="373">
        <v>1</v>
      </c>
      <c r="E299" s="374"/>
      <c r="F299" s="373">
        <v>0</v>
      </c>
      <c r="G299" s="373"/>
      <c r="H299" s="373">
        <v>1</v>
      </c>
      <c r="I299" s="373">
        <v>0</v>
      </c>
      <c r="J299" s="374"/>
      <c r="K299" s="373"/>
      <c r="L299" s="373">
        <v>0</v>
      </c>
      <c r="M299" s="373"/>
      <c r="N299" s="373">
        <v>0</v>
      </c>
      <c r="O299" s="373">
        <v>0</v>
      </c>
      <c r="P299" s="373">
        <v>0</v>
      </c>
      <c r="Q299" s="373">
        <v>0</v>
      </c>
    </row>
    <row r="300" spans="1:17" ht="12.75" x14ac:dyDescent="0.2">
      <c r="A300" s="32">
        <v>22</v>
      </c>
      <c r="B300" s="32" t="s">
        <v>2408</v>
      </c>
      <c r="C300" s="32" t="s">
        <v>2409</v>
      </c>
      <c r="D300" s="373">
        <v>1</v>
      </c>
      <c r="E300" s="374"/>
      <c r="F300" s="373">
        <v>0</v>
      </c>
      <c r="G300" s="373"/>
      <c r="H300" s="373">
        <v>1</v>
      </c>
      <c r="I300" s="373">
        <v>0</v>
      </c>
      <c r="J300" s="374"/>
      <c r="K300" s="373"/>
      <c r="L300" s="373">
        <v>0</v>
      </c>
      <c r="M300" s="373"/>
      <c r="N300" s="373">
        <v>0</v>
      </c>
      <c r="O300" s="373">
        <v>0</v>
      </c>
      <c r="P300" s="373">
        <v>0</v>
      </c>
      <c r="Q300" s="373">
        <v>0</v>
      </c>
    </row>
    <row r="301" spans="1:17" x14ac:dyDescent="0.2">
      <c r="A301" s="32">
        <v>23</v>
      </c>
      <c r="B301" s="32" t="s">
        <v>2410</v>
      </c>
      <c r="C301" s="32" t="s">
        <v>2411</v>
      </c>
      <c r="D301" s="78">
        <v>1</v>
      </c>
      <c r="E301" s="82"/>
      <c r="F301" s="78">
        <v>0</v>
      </c>
      <c r="G301" s="82"/>
      <c r="H301" s="78">
        <v>1</v>
      </c>
      <c r="I301" s="78">
        <v>0</v>
      </c>
      <c r="J301" s="78"/>
      <c r="K301" s="78"/>
      <c r="L301" s="78">
        <v>0</v>
      </c>
      <c r="M301" s="78"/>
      <c r="N301" s="78">
        <v>0</v>
      </c>
      <c r="O301" s="78">
        <v>0</v>
      </c>
      <c r="P301" s="78">
        <v>0</v>
      </c>
      <c r="Q301" s="78">
        <v>0</v>
      </c>
    </row>
    <row r="302" spans="1:17" x14ac:dyDescent="0.2">
      <c r="A302" s="32">
        <v>24</v>
      </c>
      <c r="B302" s="32" t="s">
        <v>2412</v>
      </c>
      <c r="C302" s="32" t="s">
        <v>1779</v>
      </c>
      <c r="D302" s="78">
        <v>0</v>
      </c>
      <c r="E302" s="82"/>
      <c r="F302" s="78">
        <v>0</v>
      </c>
      <c r="G302" s="82"/>
      <c r="H302" s="78">
        <v>0</v>
      </c>
      <c r="I302" s="78">
        <v>0</v>
      </c>
      <c r="J302" s="78"/>
      <c r="K302" s="78"/>
      <c r="L302" s="78">
        <v>0</v>
      </c>
      <c r="M302" s="78"/>
      <c r="N302" s="78">
        <v>0</v>
      </c>
      <c r="O302" s="78">
        <v>0</v>
      </c>
      <c r="P302" s="78">
        <v>0</v>
      </c>
      <c r="Q302" s="78">
        <v>0</v>
      </c>
    </row>
    <row r="303" spans="1:17" x14ac:dyDescent="0.2">
      <c r="A303" s="32">
        <v>25</v>
      </c>
      <c r="B303" s="32" t="s">
        <v>2413</v>
      </c>
      <c r="C303" s="32" t="s">
        <v>2414</v>
      </c>
      <c r="D303" s="78">
        <v>1</v>
      </c>
      <c r="E303" s="82"/>
      <c r="F303" s="78">
        <v>0</v>
      </c>
      <c r="G303" s="82"/>
      <c r="H303" s="78">
        <v>1</v>
      </c>
      <c r="I303" s="78">
        <v>0</v>
      </c>
      <c r="J303" s="78"/>
      <c r="K303" s="78"/>
      <c r="L303" s="78">
        <v>0</v>
      </c>
      <c r="M303" s="78"/>
      <c r="N303" s="78">
        <v>0</v>
      </c>
      <c r="O303" s="78">
        <v>0</v>
      </c>
      <c r="P303" s="78">
        <v>0</v>
      </c>
      <c r="Q303" s="78">
        <v>0</v>
      </c>
    </row>
    <row r="304" spans="1:17" x14ac:dyDescent="0.2">
      <c r="A304" s="32">
        <v>26</v>
      </c>
      <c r="B304" s="32" t="s">
        <v>2415</v>
      </c>
      <c r="C304" s="32" t="s">
        <v>2416</v>
      </c>
      <c r="D304" s="78">
        <v>1</v>
      </c>
      <c r="E304" s="82"/>
      <c r="F304" s="78">
        <v>0</v>
      </c>
      <c r="G304" s="82"/>
      <c r="H304" s="78">
        <v>1</v>
      </c>
      <c r="I304" s="78">
        <v>0</v>
      </c>
      <c r="J304" s="78"/>
      <c r="K304" s="78"/>
      <c r="L304" s="78">
        <v>0</v>
      </c>
      <c r="M304" s="78"/>
      <c r="N304" s="78">
        <v>0</v>
      </c>
      <c r="O304" s="78">
        <v>0</v>
      </c>
      <c r="P304" s="78">
        <v>0</v>
      </c>
      <c r="Q304" s="78">
        <v>0</v>
      </c>
    </row>
    <row r="305" spans="1:17" x14ac:dyDescent="0.2">
      <c r="A305" s="32">
        <v>27</v>
      </c>
      <c r="B305" s="32" t="s">
        <v>2417</v>
      </c>
      <c r="C305" s="32" t="s">
        <v>2418</v>
      </c>
      <c r="D305" s="78">
        <v>1</v>
      </c>
      <c r="E305" s="82"/>
      <c r="F305" s="78">
        <v>0</v>
      </c>
      <c r="G305" s="82"/>
      <c r="H305" s="78">
        <v>1</v>
      </c>
      <c r="I305" s="78">
        <v>0</v>
      </c>
      <c r="J305" s="78"/>
      <c r="K305" s="78"/>
      <c r="L305" s="78">
        <v>0</v>
      </c>
      <c r="M305" s="78"/>
      <c r="N305" s="78">
        <v>0</v>
      </c>
      <c r="O305" s="78">
        <v>0</v>
      </c>
      <c r="P305" s="78">
        <v>0</v>
      </c>
      <c r="Q305" s="78">
        <v>0</v>
      </c>
    </row>
    <row r="306" spans="1:17" x14ac:dyDescent="0.2">
      <c r="A306" s="32">
        <v>28</v>
      </c>
      <c r="B306" s="32" t="s">
        <v>2419</v>
      </c>
      <c r="C306" s="32" t="s">
        <v>1780</v>
      </c>
      <c r="D306" s="78">
        <v>1</v>
      </c>
      <c r="E306" s="82"/>
      <c r="F306" s="78">
        <v>0</v>
      </c>
      <c r="G306" s="82"/>
      <c r="H306" s="78">
        <v>1</v>
      </c>
      <c r="I306" s="78">
        <v>0</v>
      </c>
      <c r="J306" s="78"/>
      <c r="K306" s="78"/>
      <c r="L306" s="78">
        <v>0</v>
      </c>
      <c r="M306" s="78"/>
      <c r="N306" s="78">
        <v>0</v>
      </c>
      <c r="O306" s="78">
        <v>0</v>
      </c>
      <c r="P306" s="78">
        <v>0</v>
      </c>
      <c r="Q306" s="78">
        <v>0</v>
      </c>
    </row>
    <row r="307" spans="1:17" x14ac:dyDescent="0.2">
      <c r="A307" s="32">
        <v>29</v>
      </c>
      <c r="B307" s="32" t="s">
        <v>2420</v>
      </c>
      <c r="C307" s="32" t="s">
        <v>2421</v>
      </c>
      <c r="D307" s="78">
        <v>1</v>
      </c>
      <c r="E307" s="82"/>
      <c r="F307" s="78">
        <v>0</v>
      </c>
      <c r="G307" s="82"/>
      <c r="H307" s="78">
        <v>0</v>
      </c>
      <c r="I307" s="78">
        <v>1</v>
      </c>
      <c r="J307" s="78"/>
      <c r="K307" s="78"/>
      <c r="L307" s="78">
        <v>1</v>
      </c>
      <c r="M307" s="78"/>
      <c r="N307" s="78">
        <v>0</v>
      </c>
      <c r="O307" s="78">
        <v>0</v>
      </c>
      <c r="P307" s="78">
        <v>0</v>
      </c>
      <c r="Q307" s="78">
        <v>0</v>
      </c>
    </row>
    <row r="308" spans="1:17" x14ac:dyDescent="0.2">
      <c r="A308" s="32">
        <v>30</v>
      </c>
      <c r="B308" s="32" t="s">
        <v>2422</v>
      </c>
      <c r="C308" s="32" t="s">
        <v>2423</v>
      </c>
      <c r="D308" s="78">
        <v>1</v>
      </c>
      <c r="E308" s="82"/>
      <c r="F308" s="78">
        <v>0</v>
      </c>
      <c r="G308" s="82"/>
      <c r="H308" s="78">
        <v>0</v>
      </c>
      <c r="I308" s="78">
        <v>1</v>
      </c>
      <c r="J308" s="78"/>
      <c r="K308" s="78"/>
      <c r="L308" s="78">
        <v>1</v>
      </c>
      <c r="M308" s="78"/>
      <c r="N308" s="78">
        <v>0</v>
      </c>
      <c r="O308" s="78">
        <v>0</v>
      </c>
      <c r="P308" s="78">
        <v>0</v>
      </c>
      <c r="Q308" s="78">
        <v>0</v>
      </c>
    </row>
    <row r="309" spans="1:17" x14ac:dyDescent="0.2">
      <c r="A309" s="32">
        <v>31</v>
      </c>
      <c r="B309" s="32" t="s">
        <v>2424</v>
      </c>
      <c r="C309" s="32" t="s">
        <v>2425</v>
      </c>
      <c r="D309" s="78">
        <v>1</v>
      </c>
      <c r="E309" s="82"/>
      <c r="F309" s="78">
        <v>0</v>
      </c>
      <c r="G309" s="82"/>
      <c r="H309" s="78">
        <v>0</v>
      </c>
      <c r="I309" s="78">
        <v>1</v>
      </c>
      <c r="J309" s="78"/>
      <c r="K309" s="78"/>
      <c r="L309" s="78">
        <v>1</v>
      </c>
      <c r="M309" s="78"/>
      <c r="N309" s="78">
        <v>0</v>
      </c>
      <c r="O309" s="78">
        <v>0</v>
      </c>
      <c r="P309" s="78">
        <v>0</v>
      </c>
      <c r="Q309" s="78">
        <v>0</v>
      </c>
    </row>
    <row r="310" spans="1:17" x14ac:dyDescent="0.2">
      <c r="A310" s="32">
        <v>32</v>
      </c>
      <c r="B310" s="32" t="s">
        <v>2426</v>
      </c>
      <c r="C310" s="32" t="s">
        <v>2427</v>
      </c>
      <c r="D310" s="78">
        <v>1</v>
      </c>
      <c r="E310" s="82"/>
      <c r="F310" s="78">
        <v>0</v>
      </c>
      <c r="G310" s="82"/>
      <c r="H310" s="78">
        <v>0</v>
      </c>
      <c r="I310" s="78">
        <v>1</v>
      </c>
      <c r="J310" s="78"/>
      <c r="K310" s="78"/>
      <c r="L310" s="78">
        <v>1</v>
      </c>
      <c r="M310" s="78"/>
      <c r="N310" s="78">
        <v>0</v>
      </c>
      <c r="O310" s="78">
        <v>0</v>
      </c>
      <c r="P310" s="78">
        <v>0</v>
      </c>
      <c r="Q310" s="78">
        <v>0</v>
      </c>
    </row>
    <row r="311" spans="1:17" x14ac:dyDescent="0.2">
      <c r="A311" s="32">
        <v>33</v>
      </c>
      <c r="B311" s="32" t="s">
        <v>2428</v>
      </c>
      <c r="C311" s="32" t="s">
        <v>2429</v>
      </c>
      <c r="D311" s="78">
        <v>1</v>
      </c>
      <c r="E311" s="82"/>
      <c r="F311" s="78">
        <v>0</v>
      </c>
      <c r="G311" s="82"/>
      <c r="H311" s="78">
        <v>0</v>
      </c>
      <c r="I311" s="78">
        <v>1</v>
      </c>
      <c r="J311" s="78"/>
      <c r="K311" s="78"/>
      <c r="L311" s="78">
        <v>1</v>
      </c>
      <c r="M311" s="78"/>
      <c r="N311" s="78">
        <v>0</v>
      </c>
      <c r="O311" s="78">
        <v>0</v>
      </c>
      <c r="P311" s="78">
        <v>0</v>
      </c>
      <c r="Q311" s="78">
        <v>0</v>
      </c>
    </row>
    <row r="312" spans="1:17" x14ac:dyDescent="0.2">
      <c r="A312" s="32">
        <v>34</v>
      </c>
      <c r="B312" s="32" t="s">
        <v>2430</v>
      </c>
      <c r="C312" s="32" t="s">
        <v>2431</v>
      </c>
      <c r="D312" s="78">
        <v>1</v>
      </c>
      <c r="E312" s="82"/>
      <c r="F312" s="78">
        <v>0</v>
      </c>
      <c r="G312" s="82"/>
      <c r="H312" s="78">
        <v>0</v>
      </c>
      <c r="I312" s="78">
        <v>1</v>
      </c>
      <c r="J312" s="78"/>
      <c r="K312" s="78"/>
      <c r="L312" s="78">
        <v>1</v>
      </c>
      <c r="M312" s="78"/>
      <c r="N312" s="78">
        <v>0</v>
      </c>
      <c r="O312" s="78">
        <v>0</v>
      </c>
      <c r="P312" s="78">
        <v>0</v>
      </c>
      <c r="Q312" s="78">
        <v>0</v>
      </c>
    </row>
    <row r="313" spans="1:17" x14ac:dyDescent="0.2">
      <c r="A313" s="32">
        <v>35</v>
      </c>
      <c r="B313" s="32" t="s">
        <v>2432</v>
      </c>
      <c r="C313" s="32" t="s">
        <v>2433</v>
      </c>
      <c r="D313" s="78">
        <v>1</v>
      </c>
      <c r="E313" s="82"/>
      <c r="F313" s="78">
        <v>0</v>
      </c>
      <c r="G313" s="82"/>
      <c r="H313" s="78">
        <v>0</v>
      </c>
      <c r="I313" s="78">
        <v>1</v>
      </c>
      <c r="J313" s="78"/>
      <c r="K313" s="78"/>
      <c r="L313" s="78">
        <v>1</v>
      </c>
      <c r="M313" s="78"/>
      <c r="N313" s="78">
        <v>0</v>
      </c>
      <c r="O313" s="78">
        <v>0</v>
      </c>
      <c r="P313" s="78">
        <v>0</v>
      </c>
      <c r="Q313" s="78">
        <v>0</v>
      </c>
    </row>
    <row r="314" spans="1:17" x14ac:dyDescent="0.2">
      <c r="A314" s="32">
        <v>36</v>
      </c>
      <c r="B314" s="32" t="s">
        <v>2434</v>
      </c>
      <c r="C314" s="32" t="s">
        <v>2435</v>
      </c>
      <c r="D314" s="78">
        <v>1</v>
      </c>
      <c r="E314" s="82"/>
      <c r="F314" s="78">
        <v>0</v>
      </c>
      <c r="G314" s="82"/>
      <c r="H314" s="78">
        <v>0</v>
      </c>
      <c r="I314" s="78">
        <v>1</v>
      </c>
      <c r="J314" s="78"/>
      <c r="K314" s="78"/>
      <c r="L314" s="78">
        <v>1</v>
      </c>
      <c r="M314" s="78"/>
      <c r="N314" s="78">
        <v>0</v>
      </c>
      <c r="O314" s="78">
        <v>0</v>
      </c>
      <c r="P314" s="78">
        <v>0</v>
      </c>
      <c r="Q314" s="78">
        <v>0</v>
      </c>
    </row>
    <row r="315" spans="1:17" x14ac:dyDescent="0.2">
      <c r="A315" s="32">
        <v>37</v>
      </c>
      <c r="B315" s="32" t="s">
        <v>2436</v>
      </c>
      <c r="C315" s="32" t="s">
        <v>2437</v>
      </c>
      <c r="D315" s="78">
        <v>0</v>
      </c>
      <c r="E315" s="82"/>
      <c r="F315" s="78">
        <v>0</v>
      </c>
      <c r="G315" s="82"/>
      <c r="H315" s="78">
        <v>0</v>
      </c>
      <c r="I315" s="78">
        <v>0</v>
      </c>
      <c r="J315" s="78"/>
      <c r="K315" s="78"/>
      <c r="L315" s="78">
        <v>0</v>
      </c>
      <c r="M315" s="78"/>
      <c r="N315" s="78">
        <v>0</v>
      </c>
      <c r="O315" s="78">
        <v>0</v>
      </c>
      <c r="P315" s="78">
        <v>0</v>
      </c>
      <c r="Q315" s="78">
        <v>0</v>
      </c>
    </row>
    <row r="316" spans="1:17" x14ac:dyDescent="0.2">
      <c r="A316" s="32">
        <v>38</v>
      </c>
      <c r="B316" s="32" t="s">
        <v>78</v>
      </c>
      <c r="C316" s="32" t="s">
        <v>1782</v>
      </c>
      <c r="D316" s="78">
        <v>1</v>
      </c>
      <c r="E316" s="82"/>
      <c r="F316" s="78">
        <v>0</v>
      </c>
      <c r="G316" s="82"/>
      <c r="H316" s="78">
        <v>0.99622294555282809</v>
      </c>
      <c r="I316" s="78">
        <v>3.7770544471719372E-3</v>
      </c>
      <c r="J316" s="78"/>
      <c r="K316" s="78"/>
      <c r="L316" s="78">
        <v>3.7770544471719372E-3</v>
      </c>
      <c r="M316" s="78"/>
      <c r="N316" s="78">
        <v>0</v>
      </c>
      <c r="O316" s="78">
        <v>0</v>
      </c>
      <c r="P316" s="78">
        <v>0</v>
      </c>
      <c r="Q316" s="78">
        <v>0</v>
      </c>
    </row>
    <row r="317" spans="1:17" x14ac:dyDescent="0.2">
      <c r="A317" s="32">
        <v>39</v>
      </c>
      <c r="B317" s="32" t="s">
        <v>79</v>
      </c>
      <c r="C317" s="32" t="s">
        <v>1784</v>
      </c>
      <c r="D317" s="78">
        <v>1</v>
      </c>
      <c r="E317" s="82"/>
      <c r="F317" s="78">
        <v>0</v>
      </c>
      <c r="G317" s="82"/>
      <c r="H317" s="78">
        <v>1</v>
      </c>
      <c r="I317" s="78">
        <v>0</v>
      </c>
      <c r="J317" s="78"/>
      <c r="K317" s="78"/>
      <c r="L317" s="78">
        <v>0</v>
      </c>
      <c r="M317" s="78"/>
      <c r="N317" s="78">
        <v>0</v>
      </c>
      <c r="O317" s="78">
        <v>0</v>
      </c>
      <c r="P317" s="78">
        <v>0</v>
      </c>
      <c r="Q317" s="78">
        <v>0</v>
      </c>
    </row>
    <row r="318" spans="1:17" x14ac:dyDescent="0.2">
      <c r="A318" s="32">
        <v>40</v>
      </c>
      <c r="B318" s="32" t="s">
        <v>80</v>
      </c>
      <c r="C318" s="32" t="s">
        <v>1786</v>
      </c>
      <c r="D318" s="78">
        <v>1</v>
      </c>
      <c r="E318" s="82"/>
      <c r="F318" s="78">
        <v>0</v>
      </c>
      <c r="G318" s="82"/>
      <c r="H318" s="78">
        <v>1</v>
      </c>
      <c r="I318" s="78">
        <v>0</v>
      </c>
      <c r="J318" s="78"/>
      <c r="K318" s="78"/>
      <c r="L318" s="78">
        <v>0</v>
      </c>
      <c r="M318" s="78"/>
      <c r="N318" s="78">
        <v>0</v>
      </c>
      <c r="O318" s="78">
        <v>0</v>
      </c>
      <c r="P318" s="78">
        <v>0</v>
      </c>
      <c r="Q318" s="78">
        <v>0</v>
      </c>
    </row>
    <row r="319" spans="1:17" x14ac:dyDescent="0.2">
      <c r="A319" s="32">
        <v>41</v>
      </c>
      <c r="B319" s="32" t="s">
        <v>1871</v>
      </c>
      <c r="C319" s="32" t="s">
        <v>1788</v>
      </c>
      <c r="D319" s="78">
        <v>0</v>
      </c>
      <c r="E319" s="82"/>
      <c r="F319" s="78">
        <v>0</v>
      </c>
      <c r="G319" s="82"/>
      <c r="H319" s="78">
        <v>0</v>
      </c>
      <c r="I319" s="78">
        <v>0</v>
      </c>
      <c r="J319" s="78"/>
      <c r="K319" s="78"/>
      <c r="L319" s="78">
        <v>0</v>
      </c>
      <c r="M319" s="78"/>
      <c r="N319" s="78">
        <v>0</v>
      </c>
      <c r="O319" s="78">
        <v>0</v>
      </c>
      <c r="P319" s="78">
        <v>0</v>
      </c>
      <c r="Q319" s="78">
        <v>0</v>
      </c>
    </row>
    <row r="320" spans="1:17" x14ac:dyDescent="0.2">
      <c r="A320" s="32">
        <v>42</v>
      </c>
      <c r="B320" s="32" t="s">
        <v>2438</v>
      </c>
      <c r="C320" s="32" t="s">
        <v>2439</v>
      </c>
      <c r="D320" s="78">
        <v>1</v>
      </c>
      <c r="E320" s="82"/>
      <c r="F320" s="78">
        <v>0.92101725926001976</v>
      </c>
      <c r="G320" s="82"/>
      <c r="H320" s="78">
        <v>7.8829237183574402E-2</v>
      </c>
      <c r="I320" s="78">
        <v>1.5350355640588451E-4</v>
      </c>
      <c r="J320" s="78"/>
      <c r="K320" s="78"/>
      <c r="L320" s="78">
        <v>1.5350355640588451E-4</v>
      </c>
      <c r="M320" s="78"/>
      <c r="N320" s="78">
        <v>0</v>
      </c>
      <c r="O320" s="78">
        <v>0</v>
      </c>
      <c r="P320" s="78">
        <v>0</v>
      </c>
      <c r="Q320" s="78">
        <v>0</v>
      </c>
    </row>
    <row r="321" spans="1:17" x14ac:dyDescent="0.2">
      <c r="A321" s="32">
        <v>43</v>
      </c>
      <c r="B321" s="32" t="s">
        <v>2440</v>
      </c>
      <c r="C321" s="32" t="s">
        <v>2441</v>
      </c>
      <c r="D321" s="78">
        <v>1</v>
      </c>
      <c r="E321" s="82"/>
      <c r="F321" s="78">
        <v>0.93973948765070892</v>
      </c>
      <c r="G321" s="82"/>
      <c r="H321" s="78">
        <v>6.0260512349291119E-2</v>
      </c>
      <c r="I321" s="78">
        <v>0</v>
      </c>
      <c r="J321" s="78"/>
      <c r="K321" s="78"/>
      <c r="L321" s="78">
        <v>0</v>
      </c>
      <c r="M321" s="78"/>
      <c r="N321" s="78">
        <v>0</v>
      </c>
      <c r="O321" s="78">
        <v>0</v>
      </c>
      <c r="P321" s="78">
        <v>0</v>
      </c>
      <c r="Q321" s="78">
        <v>0</v>
      </c>
    </row>
    <row r="322" spans="1:17" x14ac:dyDescent="0.2">
      <c r="A322" s="32">
        <v>44</v>
      </c>
      <c r="B322" s="32" t="s">
        <v>2442</v>
      </c>
      <c r="C322" s="32" t="s">
        <v>2443</v>
      </c>
      <c r="D322" s="78">
        <v>1</v>
      </c>
      <c r="E322" s="82"/>
      <c r="F322" s="78">
        <v>1</v>
      </c>
      <c r="G322" s="82"/>
      <c r="H322" s="78">
        <v>0</v>
      </c>
      <c r="I322" s="78">
        <v>0</v>
      </c>
      <c r="J322" s="78"/>
      <c r="K322" s="78"/>
      <c r="L322" s="78">
        <v>0</v>
      </c>
      <c r="M322" s="78"/>
      <c r="N322" s="78">
        <v>0</v>
      </c>
      <c r="O322" s="78">
        <v>0</v>
      </c>
      <c r="P322" s="78">
        <v>0</v>
      </c>
      <c r="Q322" s="78">
        <v>0</v>
      </c>
    </row>
    <row r="323" spans="1:17" x14ac:dyDescent="0.2">
      <c r="A323" s="32">
        <v>45</v>
      </c>
      <c r="B323" s="32" t="s">
        <v>2497</v>
      </c>
      <c r="C323" s="32" t="s">
        <v>2445</v>
      </c>
      <c r="D323" s="78">
        <v>1</v>
      </c>
      <c r="E323" s="82"/>
      <c r="F323" s="78">
        <v>0.92633123878706558</v>
      </c>
      <c r="G323" s="82"/>
      <c r="H323" s="78">
        <v>7.3668761212934433E-2</v>
      </c>
      <c r="I323" s="78">
        <v>0</v>
      </c>
      <c r="J323" s="78"/>
      <c r="K323" s="78"/>
      <c r="L323" s="78">
        <v>0</v>
      </c>
      <c r="M323" s="78"/>
      <c r="N323" s="78">
        <v>0</v>
      </c>
      <c r="O323" s="78">
        <v>0</v>
      </c>
      <c r="P323" s="78">
        <v>0</v>
      </c>
      <c r="Q323" s="78">
        <v>0</v>
      </c>
    </row>
    <row r="324" spans="1:17" x14ac:dyDescent="0.2">
      <c r="A324" s="32">
        <v>46</v>
      </c>
      <c r="B324" s="32" t="s">
        <v>2498</v>
      </c>
      <c r="C324" s="32" t="s">
        <v>2447</v>
      </c>
      <c r="D324" s="78">
        <v>1</v>
      </c>
      <c r="E324" s="82"/>
      <c r="F324" s="78">
        <v>0.97791246623336181</v>
      </c>
      <c r="G324" s="82"/>
      <c r="H324" s="78">
        <v>2.2087533766638228E-2</v>
      </c>
      <c r="I324" s="78">
        <v>0</v>
      </c>
      <c r="J324" s="78"/>
      <c r="K324" s="78"/>
      <c r="L324" s="78">
        <v>0</v>
      </c>
      <c r="M324" s="78"/>
      <c r="N324" s="78">
        <v>0</v>
      </c>
      <c r="O324" s="78">
        <v>0</v>
      </c>
      <c r="P324" s="78">
        <v>0</v>
      </c>
      <c r="Q324" s="78">
        <v>0</v>
      </c>
    </row>
    <row r="325" spans="1:17" x14ac:dyDescent="0.2">
      <c r="A325" s="32">
        <v>47</v>
      </c>
      <c r="B325" s="32" t="s">
        <v>2499</v>
      </c>
      <c r="C325" s="32" t="s">
        <v>2449</v>
      </c>
      <c r="D325" s="78">
        <v>1</v>
      </c>
      <c r="E325" s="82"/>
      <c r="F325" s="78">
        <v>0.93652127270912111</v>
      </c>
      <c r="G325" s="82"/>
      <c r="H325" s="78">
        <v>6.3478727290878917E-2</v>
      </c>
      <c r="I325" s="78">
        <v>0</v>
      </c>
      <c r="J325" s="78"/>
      <c r="K325" s="78"/>
      <c r="L325" s="78">
        <v>0</v>
      </c>
      <c r="M325" s="78"/>
      <c r="N325" s="78">
        <v>0</v>
      </c>
      <c r="O325" s="78">
        <v>0</v>
      </c>
      <c r="P325" s="78">
        <v>0</v>
      </c>
      <c r="Q325" s="78">
        <v>0</v>
      </c>
    </row>
    <row r="326" spans="1:17" x14ac:dyDescent="0.2">
      <c r="A326" s="32">
        <v>48</v>
      </c>
      <c r="B326" s="32" t="s">
        <v>1789</v>
      </c>
      <c r="C326" s="32" t="s">
        <v>1790</v>
      </c>
      <c r="D326" s="78">
        <v>1</v>
      </c>
      <c r="E326" s="82"/>
      <c r="F326" s="78">
        <v>0</v>
      </c>
      <c r="G326" s="82"/>
      <c r="H326" s="78">
        <v>1</v>
      </c>
      <c r="I326" s="78">
        <v>0</v>
      </c>
      <c r="J326" s="78"/>
      <c r="K326" s="78"/>
      <c r="L326" s="78">
        <v>0</v>
      </c>
      <c r="M326" s="78"/>
      <c r="N326" s="78">
        <v>0</v>
      </c>
      <c r="O326" s="78">
        <v>0</v>
      </c>
      <c r="P326" s="78">
        <v>0</v>
      </c>
      <c r="Q326" s="78">
        <v>0</v>
      </c>
    </row>
    <row r="327" spans="1:17" x14ac:dyDescent="0.2">
      <c r="A327" s="32">
        <v>49</v>
      </c>
      <c r="B327" s="32" t="s">
        <v>1791</v>
      </c>
      <c r="C327" s="32" t="s">
        <v>1792</v>
      </c>
      <c r="D327" s="78">
        <v>0</v>
      </c>
      <c r="E327" s="82"/>
      <c r="F327" s="78">
        <v>0</v>
      </c>
      <c r="G327" s="82"/>
      <c r="H327" s="78">
        <v>0</v>
      </c>
      <c r="I327" s="78">
        <v>0</v>
      </c>
      <c r="J327" s="78"/>
      <c r="K327" s="78"/>
      <c r="L327" s="78">
        <v>0</v>
      </c>
      <c r="M327" s="78"/>
      <c r="N327" s="78">
        <v>0</v>
      </c>
      <c r="O327" s="78">
        <v>0</v>
      </c>
      <c r="P327" s="78">
        <v>0</v>
      </c>
      <c r="Q327" s="78">
        <v>0</v>
      </c>
    </row>
    <row r="328" spans="1:17" x14ac:dyDescent="0.2">
      <c r="A328" s="32">
        <v>50</v>
      </c>
      <c r="B328" s="32" t="s">
        <v>1793</v>
      </c>
      <c r="C328" s="32" t="s">
        <v>1794</v>
      </c>
      <c r="D328" s="78">
        <v>1</v>
      </c>
      <c r="E328" s="82"/>
      <c r="F328" s="78">
        <v>0</v>
      </c>
      <c r="G328" s="82"/>
      <c r="H328" s="78">
        <v>1</v>
      </c>
      <c r="I328" s="78">
        <v>0</v>
      </c>
      <c r="J328" s="78"/>
      <c r="K328" s="78"/>
      <c r="L328" s="78">
        <v>0</v>
      </c>
      <c r="M328" s="78"/>
      <c r="N328" s="78">
        <v>0</v>
      </c>
      <c r="O328" s="78">
        <v>0</v>
      </c>
      <c r="P328" s="78">
        <v>0</v>
      </c>
      <c r="Q328" s="78">
        <v>0</v>
      </c>
    </row>
    <row r="329" spans="1:17" x14ac:dyDescent="0.2">
      <c r="D329" s="78"/>
      <c r="E329" s="82"/>
      <c r="F329" s="78"/>
      <c r="G329" s="82"/>
      <c r="H329" s="78"/>
      <c r="I329" s="78"/>
      <c r="J329" s="78"/>
      <c r="K329" s="78"/>
      <c r="L329" s="78"/>
      <c r="M329" s="78"/>
      <c r="N329" s="78"/>
      <c r="O329" s="78"/>
      <c r="P329" s="78"/>
      <c r="Q329" s="78"/>
    </row>
    <row r="330" spans="1:17" x14ac:dyDescent="0.2">
      <c r="D330" s="78"/>
      <c r="E330" s="82"/>
      <c r="F330" s="78"/>
      <c r="G330" s="82"/>
      <c r="H330" s="78"/>
      <c r="I330" s="78"/>
      <c r="J330" s="78"/>
      <c r="K330" s="78"/>
      <c r="L330" s="78"/>
      <c r="M330" s="78"/>
      <c r="N330" s="78"/>
      <c r="O330" s="78"/>
      <c r="P330" s="78"/>
      <c r="Q330" s="78"/>
    </row>
    <row r="331" spans="1:17" x14ac:dyDescent="0.2">
      <c r="B331" s="32" t="s">
        <v>1795</v>
      </c>
      <c r="D331" s="78"/>
      <c r="E331" s="82"/>
      <c r="F331" s="78"/>
      <c r="G331" s="82"/>
      <c r="H331" s="78"/>
      <c r="I331" s="78"/>
      <c r="J331" s="78"/>
      <c r="K331" s="78"/>
      <c r="L331" s="78"/>
      <c r="M331" s="78"/>
      <c r="N331" s="78"/>
      <c r="O331" s="78"/>
      <c r="P331" s="78"/>
      <c r="Q331" s="78"/>
    </row>
    <row r="332" spans="1:17" x14ac:dyDescent="0.2">
      <c r="B332" s="32" t="s">
        <v>1670</v>
      </c>
      <c r="D332" s="78"/>
      <c r="E332" s="82"/>
      <c r="F332" s="78"/>
      <c r="G332" s="82"/>
      <c r="H332" s="78"/>
      <c r="I332" s="78"/>
      <c r="J332" s="78"/>
      <c r="K332" s="78"/>
      <c r="L332" s="78"/>
      <c r="M332" s="78"/>
      <c r="N332" s="78"/>
      <c r="O332" s="78"/>
      <c r="P332" s="78"/>
      <c r="Q332" s="78"/>
    </row>
    <row r="333" spans="1:17" x14ac:dyDescent="0.2">
      <c r="A333" s="32">
        <v>1</v>
      </c>
      <c r="B333" s="32" t="s">
        <v>1796</v>
      </c>
      <c r="C333" s="32" t="s">
        <v>1795</v>
      </c>
      <c r="D333" s="78">
        <v>1</v>
      </c>
      <c r="E333" s="82"/>
      <c r="F333" s="78">
        <v>0.86756687854205383</v>
      </c>
      <c r="G333" s="82"/>
      <c r="H333" s="78">
        <v>4.5872060035691518E-2</v>
      </c>
      <c r="I333" s="78">
        <v>8.6561061422254615E-2</v>
      </c>
      <c r="J333" s="78"/>
      <c r="K333" s="78"/>
      <c r="L333" s="78">
        <v>4.7691177493320222E-6</v>
      </c>
      <c r="M333" s="78"/>
      <c r="N333" s="78">
        <v>8.6556292304505289E-2</v>
      </c>
      <c r="O333" s="78">
        <v>2.8256004018282668E-2</v>
      </c>
      <c r="P333" s="78">
        <v>5.8300288286222628E-2</v>
      </c>
      <c r="Q333" s="78">
        <v>0</v>
      </c>
    </row>
    <row r="334" spans="1:17" x14ac:dyDescent="0.2">
      <c r="A334" s="32">
        <v>2</v>
      </c>
      <c r="B334" s="32" t="s">
        <v>1797</v>
      </c>
      <c r="C334" s="32" t="s">
        <v>1798</v>
      </c>
      <c r="D334" s="78">
        <v>1</v>
      </c>
      <c r="E334" s="82"/>
      <c r="F334" s="78">
        <v>0.94977596455376279</v>
      </c>
      <c r="G334" s="82"/>
      <c r="H334" s="78">
        <v>5.0218814415418159E-2</v>
      </c>
      <c r="I334" s="78">
        <v>5.2210308190352702E-6</v>
      </c>
      <c r="J334" s="78"/>
      <c r="K334" s="78"/>
      <c r="L334" s="78">
        <v>5.2210308190352702E-6</v>
      </c>
      <c r="M334" s="78"/>
      <c r="N334" s="78">
        <v>0</v>
      </c>
      <c r="O334" s="78">
        <v>0</v>
      </c>
      <c r="P334" s="78">
        <v>0</v>
      </c>
      <c r="Q334" s="78">
        <v>0</v>
      </c>
    </row>
    <row r="335" spans="1:17" x14ac:dyDescent="0.2">
      <c r="A335" s="32">
        <v>3</v>
      </c>
      <c r="D335" s="78"/>
      <c r="E335" s="82"/>
      <c r="F335" s="78"/>
      <c r="G335" s="82"/>
      <c r="H335" s="78"/>
      <c r="I335" s="78"/>
      <c r="J335" s="78"/>
      <c r="K335" s="78"/>
      <c r="L335" s="78"/>
      <c r="M335" s="78"/>
      <c r="N335" s="78"/>
      <c r="O335" s="78"/>
      <c r="P335" s="78"/>
      <c r="Q335" s="78"/>
    </row>
    <row r="336" spans="1:17" x14ac:dyDescent="0.2">
      <c r="A336" s="32">
        <v>4</v>
      </c>
      <c r="D336" s="78"/>
      <c r="E336" s="82"/>
      <c r="F336" s="78"/>
      <c r="G336" s="82"/>
      <c r="H336" s="78"/>
      <c r="I336" s="78"/>
      <c r="J336" s="78"/>
      <c r="K336" s="78"/>
      <c r="L336" s="78"/>
      <c r="M336" s="78"/>
      <c r="N336" s="78"/>
      <c r="O336" s="78"/>
      <c r="P336" s="78"/>
      <c r="Q336" s="78"/>
    </row>
    <row r="337" spans="1:17" x14ac:dyDescent="0.2">
      <c r="D337" s="78"/>
      <c r="E337" s="82"/>
      <c r="F337" s="78"/>
      <c r="G337" s="82"/>
      <c r="H337" s="78"/>
      <c r="I337" s="78"/>
      <c r="J337" s="78"/>
      <c r="K337" s="78"/>
      <c r="L337" s="78"/>
      <c r="M337" s="78"/>
      <c r="N337" s="78"/>
      <c r="O337" s="78"/>
      <c r="P337" s="78"/>
      <c r="Q337" s="78"/>
    </row>
    <row r="338" spans="1:17" x14ac:dyDescent="0.2">
      <c r="B338" s="32" t="s">
        <v>1799</v>
      </c>
      <c r="D338" s="78"/>
      <c r="E338" s="82"/>
      <c r="F338" s="78"/>
      <c r="G338" s="82"/>
      <c r="H338" s="78"/>
      <c r="I338" s="78"/>
      <c r="J338" s="78"/>
      <c r="K338" s="78"/>
      <c r="L338" s="78"/>
      <c r="M338" s="78"/>
      <c r="N338" s="78"/>
      <c r="O338" s="78"/>
      <c r="P338" s="78"/>
      <c r="Q338" s="78"/>
    </row>
    <row r="339" spans="1:17" x14ac:dyDescent="0.2">
      <c r="B339" s="32" t="s">
        <v>1670</v>
      </c>
      <c r="D339" s="78"/>
      <c r="E339" s="82"/>
      <c r="F339" s="78"/>
      <c r="G339" s="82"/>
      <c r="H339" s="78"/>
      <c r="I339" s="78"/>
      <c r="J339" s="78"/>
      <c r="K339" s="78"/>
      <c r="L339" s="78"/>
      <c r="M339" s="78"/>
      <c r="N339" s="78"/>
      <c r="O339" s="78"/>
      <c r="P339" s="78"/>
      <c r="Q339" s="78"/>
    </row>
    <row r="340" spans="1:17" x14ac:dyDescent="0.2">
      <c r="A340" s="32">
        <v>1</v>
      </c>
      <c r="B340" s="32" t="s">
        <v>1800</v>
      </c>
      <c r="C340" s="32" t="s">
        <v>1801</v>
      </c>
      <c r="D340" s="78">
        <v>1</v>
      </c>
      <c r="E340" s="82"/>
      <c r="F340" s="78">
        <v>1</v>
      </c>
      <c r="G340" s="82"/>
      <c r="H340" s="78">
        <v>0</v>
      </c>
      <c r="I340" s="78">
        <v>0</v>
      </c>
      <c r="J340" s="78"/>
      <c r="K340" s="78"/>
      <c r="L340" s="78">
        <v>0</v>
      </c>
      <c r="M340" s="78"/>
      <c r="N340" s="78">
        <v>0</v>
      </c>
      <c r="O340" s="78">
        <v>0</v>
      </c>
      <c r="P340" s="78">
        <v>0</v>
      </c>
      <c r="Q340" s="78">
        <v>0</v>
      </c>
    </row>
    <row r="341" spans="1:17" x14ac:dyDescent="0.2">
      <c r="A341" s="32">
        <v>2</v>
      </c>
      <c r="B341" s="32" t="s">
        <v>1802</v>
      </c>
      <c r="C341" s="32" t="s">
        <v>1803</v>
      </c>
      <c r="D341" s="78">
        <v>1</v>
      </c>
      <c r="E341" s="82"/>
      <c r="F341" s="78">
        <v>0.99531778314177088</v>
      </c>
      <c r="G341" s="82"/>
      <c r="H341" s="78">
        <v>0</v>
      </c>
      <c r="I341" s="78">
        <v>4.6822168582290715E-3</v>
      </c>
      <c r="J341" s="78"/>
      <c r="K341" s="78"/>
      <c r="L341" s="78">
        <v>0</v>
      </c>
      <c r="M341" s="78"/>
      <c r="N341" s="78">
        <v>4.6822168582290715E-3</v>
      </c>
      <c r="O341" s="78">
        <v>9.9444458897850261E-4</v>
      </c>
      <c r="P341" s="78">
        <v>3.6877722692505691E-3</v>
      </c>
      <c r="Q341" s="78">
        <v>0</v>
      </c>
    </row>
    <row r="342" spans="1:17" x14ac:dyDescent="0.2">
      <c r="A342" s="32">
        <v>3</v>
      </c>
      <c r="B342" s="32" t="s">
        <v>1804</v>
      </c>
      <c r="C342" s="32" t="s">
        <v>1805</v>
      </c>
      <c r="D342" s="78">
        <v>1</v>
      </c>
      <c r="E342" s="82"/>
      <c r="F342" s="78">
        <v>1</v>
      </c>
      <c r="G342" s="82"/>
      <c r="H342" s="78">
        <v>0</v>
      </c>
      <c r="I342" s="78">
        <v>0</v>
      </c>
      <c r="J342" s="78"/>
      <c r="K342" s="78"/>
      <c r="L342" s="78">
        <v>0</v>
      </c>
      <c r="M342" s="78"/>
      <c r="N342" s="78">
        <v>0</v>
      </c>
      <c r="O342" s="78">
        <v>0</v>
      </c>
      <c r="P342" s="78">
        <v>0</v>
      </c>
      <c r="Q342" s="78">
        <v>0</v>
      </c>
    </row>
    <row r="343" spans="1:17" x14ac:dyDescent="0.2">
      <c r="A343" s="32">
        <v>4</v>
      </c>
      <c r="B343" s="32" t="s">
        <v>1806</v>
      </c>
      <c r="C343" s="32" t="s">
        <v>1807</v>
      </c>
      <c r="D343" s="78">
        <v>1</v>
      </c>
      <c r="E343" s="82"/>
      <c r="F343" s="78">
        <v>1</v>
      </c>
      <c r="G343" s="82"/>
      <c r="H343" s="78">
        <v>0</v>
      </c>
      <c r="I343" s="78">
        <v>0</v>
      </c>
      <c r="J343" s="78"/>
      <c r="K343" s="78"/>
      <c r="L343" s="78">
        <v>0</v>
      </c>
      <c r="M343" s="78"/>
      <c r="N343" s="78">
        <v>0</v>
      </c>
      <c r="O343" s="78">
        <v>0</v>
      </c>
      <c r="P343" s="78">
        <v>0</v>
      </c>
      <c r="Q343" s="78">
        <v>0</v>
      </c>
    </row>
    <row r="344" spans="1:17" x14ac:dyDescent="0.2">
      <c r="A344" s="32">
        <v>5</v>
      </c>
      <c r="B344" s="32" t="s">
        <v>1808</v>
      </c>
      <c r="C344" s="32" t="s">
        <v>1809</v>
      </c>
      <c r="D344" s="78">
        <v>1</v>
      </c>
      <c r="E344" s="82"/>
      <c r="F344" s="78">
        <v>0.93274905720334322</v>
      </c>
      <c r="G344" s="82"/>
      <c r="H344" s="78">
        <v>6.7250942796656804E-2</v>
      </c>
      <c r="I344" s="78">
        <v>0</v>
      </c>
      <c r="J344" s="78"/>
      <c r="K344" s="78"/>
      <c r="L344" s="78">
        <v>0</v>
      </c>
      <c r="M344" s="78"/>
      <c r="N344" s="78">
        <v>0</v>
      </c>
      <c r="O344" s="78">
        <v>0</v>
      </c>
      <c r="P344" s="78">
        <v>0</v>
      </c>
      <c r="Q344" s="78">
        <v>0</v>
      </c>
    </row>
    <row r="345" spans="1:17" x14ac:dyDescent="0.2">
      <c r="A345" s="32">
        <v>6</v>
      </c>
      <c r="B345" s="32" t="s">
        <v>1810</v>
      </c>
      <c r="C345" s="32" t="s">
        <v>1811</v>
      </c>
      <c r="D345" s="78">
        <v>1</v>
      </c>
      <c r="E345" s="82"/>
      <c r="F345" s="78">
        <v>0.97721534358700879</v>
      </c>
      <c r="G345" s="82"/>
      <c r="H345" s="78">
        <v>2.2784656412991208E-2</v>
      </c>
      <c r="I345" s="78">
        <v>0</v>
      </c>
      <c r="J345" s="78"/>
      <c r="K345" s="78"/>
      <c r="L345" s="78">
        <v>0</v>
      </c>
      <c r="M345" s="78"/>
      <c r="N345" s="78">
        <v>0</v>
      </c>
      <c r="O345" s="78">
        <v>0</v>
      </c>
      <c r="P345" s="78">
        <v>0</v>
      </c>
      <c r="Q345" s="78">
        <v>0</v>
      </c>
    </row>
    <row r="346" spans="1:17" x14ac:dyDescent="0.2">
      <c r="A346" s="32">
        <v>7</v>
      </c>
      <c r="B346" s="32" t="s">
        <v>1812</v>
      </c>
      <c r="C346" s="32" t="s">
        <v>1813</v>
      </c>
      <c r="D346" s="78">
        <v>1</v>
      </c>
      <c r="E346" s="82"/>
      <c r="F346" s="78">
        <v>0.94610805683145505</v>
      </c>
      <c r="G346" s="82"/>
      <c r="H346" s="78">
        <v>5.2647634542542641E-2</v>
      </c>
      <c r="I346" s="78">
        <v>1.2443086260023042E-3</v>
      </c>
      <c r="J346" s="78"/>
      <c r="K346" s="78"/>
      <c r="L346" s="78">
        <v>9.3657638516302455E-6</v>
      </c>
      <c r="M346" s="78"/>
      <c r="N346" s="78">
        <v>1.2349428621506739E-3</v>
      </c>
      <c r="O346" s="78">
        <v>6.6095533467219162E-4</v>
      </c>
      <c r="P346" s="78">
        <v>5.739875274784822E-4</v>
      </c>
      <c r="Q346" s="78">
        <v>0</v>
      </c>
    </row>
    <row r="347" spans="1:17" x14ac:dyDescent="0.2">
      <c r="A347" s="32">
        <v>8</v>
      </c>
      <c r="B347" s="32" t="s">
        <v>1814</v>
      </c>
      <c r="C347" s="32" t="s">
        <v>1815</v>
      </c>
      <c r="D347" s="78">
        <v>1</v>
      </c>
      <c r="E347" s="82"/>
      <c r="F347" s="78">
        <v>0.94610805683145505</v>
      </c>
      <c r="G347" s="82"/>
      <c r="H347" s="78">
        <v>5.2647634542542641E-2</v>
      </c>
      <c r="I347" s="78">
        <v>1.2443086260023042E-3</v>
      </c>
      <c r="J347" s="78"/>
      <c r="K347" s="78"/>
      <c r="L347" s="78">
        <v>9.3657638516302455E-6</v>
      </c>
      <c r="M347" s="78"/>
      <c r="N347" s="78">
        <v>1.2349428621506739E-3</v>
      </c>
      <c r="O347" s="78">
        <v>6.6095533467219162E-4</v>
      </c>
      <c r="P347" s="78">
        <v>5.739875274784822E-4</v>
      </c>
      <c r="Q347" s="78">
        <v>0</v>
      </c>
    </row>
    <row r="348" spans="1:17" x14ac:dyDescent="0.2">
      <c r="A348" s="32">
        <v>9</v>
      </c>
      <c r="B348" s="32" t="s">
        <v>1816</v>
      </c>
      <c r="C348" s="32" t="s">
        <v>1817</v>
      </c>
      <c r="D348" s="78">
        <v>1</v>
      </c>
      <c r="E348" s="82"/>
      <c r="F348" s="78">
        <v>0.94610805683145505</v>
      </c>
      <c r="G348" s="82"/>
      <c r="H348" s="78">
        <v>5.2647634542542641E-2</v>
      </c>
      <c r="I348" s="78">
        <v>1.2443086260023042E-3</v>
      </c>
      <c r="J348" s="78"/>
      <c r="K348" s="78"/>
      <c r="L348" s="78">
        <v>9.3657638516302455E-6</v>
      </c>
      <c r="M348" s="78"/>
      <c r="N348" s="78">
        <v>1.2349428621506739E-3</v>
      </c>
      <c r="O348" s="78">
        <v>6.6095533467219162E-4</v>
      </c>
      <c r="P348" s="78">
        <v>5.739875274784822E-4</v>
      </c>
      <c r="Q348" s="78">
        <v>0</v>
      </c>
    </row>
    <row r="349" spans="1:17" x14ac:dyDescent="0.2">
      <c r="A349" s="32">
        <v>10</v>
      </c>
      <c r="B349" s="32" t="s">
        <v>1818</v>
      </c>
      <c r="C349" s="32" t="s">
        <v>1819</v>
      </c>
      <c r="D349" s="78">
        <v>1</v>
      </c>
      <c r="E349" s="82"/>
      <c r="F349" s="78">
        <v>0</v>
      </c>
      <c r="G349" s="82"/>
      <c r="H349" s="78">
        <v>1</v>
      </c>
      <c r="I349" s="78">
        <v>0</v>
      </c>
      <c r="J349" s="78"/>
      <c r="K349" s="78"/>
      <c r="L349" s="78">
        <v>0</v>
      </c>
      <c r="M349" s="78"/>
      <c r="N349" s="78">
        <v>0</v>
      </c>
      <c r="O349" s="78">
        <v>0</v>
      </c>
      <c r="P349" s="78">
        <v>0</v>
      </c>
      <c r="Q349" s="78">
        <v>0</v>
      </c>
    </row>
    <row r="350" spans="1:17" x14ac:dyDescent="0.2">
      <c r="A350" s="32">
        <v>11</v>
      </c>
      <c r="B350" s="32" t="s">
        <v>1820</v>
      </c>
      <c r="C350" s="32" t="s">
        <v>1821</v>
      </c>
      <c r="D350" s="78">
        <v>1</v>
      </c>
      <c r="E350" s="82"/>
      <c r="F350" s="78">
        <v>0</v>
      </c>
      <c r="G350" s="82"/>
      <c r="H350" s="78">
        <v>1</v>
      </c>
      <c r="I350" s="78">
        <v>0</v>
      </c>
      <c r="J350" s="78"/>
      <c r="K350" s="78"/>
      <c r="L350" s="78">
        <v>0</v>
      </c>
      <c r="M350" s="78"/>
      <c r="N350" s="78">
        <v>0</v>
      </c>
      <c r="O350" s="78">
        <v>0</v>
      </c>
      <c r="P350" s="78">
        <v>0</v>
      </c>
      <c r="Q350" s="78">
        <v>0</v>
      </c>
    </row>
    <row r="351" spans="1:17" x14ac:dyDescent="0.2">
      <c r="A351" s="32">
        <v>12</v>
      </c>
      <c r="B351" s="32" t="s">
        <v>1822</v>
      </c>
      <c r="C351" s="32" t="s">
        <v>1823</v>
      </c>
      <c r="D351" s="78">
        <v>1</v>
      </c>
      <c r="E351" s="82"/>
      <c r="F351" s="78">
        <v>0</v>
      </c>
      <c r="G351" s="82"/>
      <c r="H351" s="78">
        <v>1</v>
      </c>
      <c r="I351" s="78">
        <v>0</v>
      </c>
      <c r="J351" s="78"/>
      <c r="K351" s="78"/>
      <c r="L351" s="78">
        <v>0</v>
      </c>
      <c r="M351" s="78"/>
      <c r="N351" s="78">
        <v>0</v>
      </c>
      <c r="O351" s="78">
        <v>0</v>
      </c>
      <c r="P351" s="78">
        <v>0</v>
      </c>
      <c r="Q351" s="78">
        <v>0</v>
      </c>
    </row>
    <row r="352" spans="1:17" x14ac:dyDescent="0.2">
      <c r="A352" s="32">
        <v>13</v>
      </c>
      <c r="B352" s="32" t="s">
        <v>1824</v>
      </c>
      <c r="C352" s="32" t="s">
        <v>1825</v>
      </c>
      <c r="D352" s="78">
        <v>1</v>
      </c>
      <c r="E352" s="82"/>
      <c r="F352" s="78">
        <v>0</v>
      </c>
      <c r="G352" s="82"/>
      <c r="H352" s="78">
        <v>1</v>
      </c>
      <c r="I352" s="78">
        <v>0</v>
      </c>
      <c r="J352" s="78"/>
      <c r="K352" s="78"/>
      <c r="L352" s="78">
        <v>0</v>
      </c>
      <c r="M352" s="78"/>
      <c r="N352" s="78">
        <v>0</v>
      </c>
      <c r="O352" s="78">
        <v>0</v>
      </c>
      <c r="P352" s="78">
        <v>0</v>
      </c>
      <c r="Q352" s="78">
        <v>0</v>
      </c>
    </row>
    <row r="353" spans="1:17" x14ac:dyDescent="0.2">
      <c r="A353" s="32">
        <v>14</v>
      </c>
      <c r="B353" s="32" t="s">
        <v>1826</v>
      </c>
      <c r="C353" s="32" t="s">
        <v>1827</v>
      </c>
      <c r="D353" s="78">
        <v>1</v>
      </c>
      <c r="E353" s="82"/>
      <c r="F353" s="78">
        <v>1</v>
      </c>
      <c r="G353" s="82"/>
      <c r="H353" s="78">
        <v>0</v>
      </c>
      <c r="I353" s="78">
        <v>0</v>
      </c>
      <c r="J353" s="78"/>
      <c r="K353" s="78"/>
      <c r="L353" s="78">
        <v>0</v>
      </c>
      <c r="M353" s="78"/>
      <c r="N353" s="78">
        <v>0</v>
      </c>
      <c r="O353" s="78">
        <v>0</v>
      </c>
      <c r="P353" s="78">
        <v>0</v>
      </c>
      <c r="Q353" s="78">
        <v>0</v>
      </c>
    </row>
    <row r="354" spans="1:17" x14ac:dyDescent="0.2">
      <c r="A354" s="32">
        <v>15</v>
      </c>
      <c r="B354" s="32" t="s">
        <v>1828</v>
      </c>
      <c r="C354" s="32" t="s">
        <v>1829</v>
      </c>
      <c r="D354" s="78">
        <v>1</v>
      </c>
      <c r="E354" s="82"/>
      <c r="F354" s="78">
        <v>0.94596923008515088</v>
      </c>
      <c r="G354" s="82"/>
      <c r="H354" s="78">
        <v>5.4023359049037697E-2</v>
      </c>
      <c r="I354" s="78">
        <v>7.4108658114527521E-6</v>
      </c>
      <c r="J354" s="78"/>
      <c r="K354" s="78"/>
      <c r="L354" s="78">
        <v>7.4108658114527521E-6</v>
      </c>
      <c r="M354" s="78"/>
      <c r="N354" s="78">
        <v>0</v>
      </c>
      <c r="O354" s="78">
        <v>0</v>
      </c>
      <c r="P354" s="78">
        <v>0</v>
      </c>
      <c r="Q354" s="78">
        <v>0</v>
      </c>
    </row>
    <row r="355" spans="1:17" x14ac:dyDescent="0.2">
      <c r="A355" s="32">
        <v>16</v>
      </c>
      <c r="B355" s="32" t="s">
        <v>1830</v>
      </c>
      <c r="C355" s="32" t="s">
        <v>1831</v>
      </c>
      <c r="D355" s="78">
        <v>1</v>
      </c>
      <c r="E355" s="82"/>
      <c r="F355" s="78">
        <v>0.94596923008515088</v>
      </c>
      <c r="G355" s="82"/>
      <c r="H355" s="78">
        <v>5.4023359049037697E-2</v>
      </c>
      <c r="I355" s="78">
        <v>7.4108658114527521E-6</v>
      </c>
      <c r="J355" s="78"/>
      <c r="K355" s="78"/>
      <c r="L355" s="78">
        <v>7.4108658114527521E-6</v>
      </c>
      <c r="M355" s="78"/>
      <c r="N355" s="78">
        <v>0</v>
      </c>
      <c r="O355" s="78">
        <v>0</v>
      </c>
      <c r="P355" s="78">
        <v>0</v>
      </c>
      <c r="Q355" s="78">
        <v>0</v>
      </c>
    </row>
    <row r="356" spans="1:17" x14ac:dyDescent="0.2">
      <c r="A356" s="32">
        <v>17</v>
      </c>
      <c r="B356" s="32" t="s">
        <v>1832</v>
      </c>
      <c r="C356" s="32" t="s">
        <v>1833</v>
      </c>
      <c r="D356" s="78">
        <v>1</v>
      </c>
      <c r="E356" s="82"/>
      <c r="F356" s="78">
        <v>0.94596923008515088</v>
      </c>
      <c r="G356" s="82"/>
      <c r="H356" s="78">
        <v>5.4023359049037697E-2</v>
      </c>
      <c r="I356" s="78">
        <v>7.4108658114527521E-6</v>
      </c>
      <c r="J356" s="78"/>
      <c r="K356" s="78"/>
      <c r="L356" s="78">
        <v>7.4108658114527521E-6</v>
      </c>
      <c r="M356" s="78"/>
      <c r="N356" s="78">
        <v>0</v>
      </c>
      <c r="O356" s="78">
        <v>0</v>
      </c>
      <c r="P356" s="78">
        <v>0</v>
      </c>
      <c r="Q356" s="78">
        <v>0</v>
      </c>
    </row>
    <row r="357" spans="1:17" x14ac:dyDescent="0.2">
      <c r="A357" s="32">
        <v>18</v>
      </c>
      <c r="B357" s="32" t="s">
        <v>1834</v>
      </c>
      <c r="C357" s="32" t="s">
        <v>1835</v>
      </c>
      <c r="D357" s="78">
        <v>0</v>
      </c>
      <c r="E357" s="82"/>
      <c r="F357" s="78">
        <v>0</v>
      </c>
      <c r="G357" s="82"/>
      <c r="H357" s="78">
        <v>0</v>
      </c>
      <c r="I357" s="78">
        <v>0</v>
      </c>
      <c r="J357" s="78"/>
      <c r="K357" s="78"/>
      <c r="L357" s="78">
        <v>0</v>
      </c>
      <c r="M357" s="78"/>
      <c r="N357" s="78">
        <v>0</v>
      </c>
      <c r="O357" s="78">
        <v>0</v>
      </c>
      <c r="P357" s="78">
        <v>0</v>
      </c>
      <c r="Q357" s="78">
        <v>0</v>
      </c>
    </row>
    <row r="358" spans="1:17" x14ac:dyDescent="0.2">
      <c r="A358" s="32">
        <v>19</v>
      </c>
      <c r="B358" s="32" t="s">
        <v>1836</v>
      </c>
      <c r="C358" s="32" t="s">
        <v>1837</v>
      </c>
      <c r="D358" s="78">
        <v>1</v>
      </c>
      <c r="E358" s="82"/>
      <c r="F358" s="78">
        <v>0.99874776562154655</v>
      </c>
      <c r="G358" s="82"/>
      <c r="H358" s="78">
        <v>1.2522343784535082E-3</v>
      </c>
      <c r="I358" s="78">
        <v>0</v>
      </c>
      <c r="J358" s="78"/>
      <c r="K358" s="78"/>
      <c r="L358" s="78">
        <v>0</v>
      </c>
      <c r="M358" s="78"/>
      <c r="N358" s="78">
        <v>0</v>
      </c>
      <c r="O358" s="78">
        <v>0</v>
      </c>
      <c r="P358" s="78">
        <v>0</v>
      </c>
      <c r="Q358" s="78">
        <v>0</v>
      </c>
    </row>
    <row r="359" spans="1:17" x14ac:dyDescent="0.2">
      <c r="A359" s="32">
        <v>20</v>
      </c>
      <c r="B359" s="32" t="s">
        <v>2228</v>
      </c>
      <c r="C359" s="32" t="s">
        <v>2455</v>
      </c>
      <c r="D359" s="78">
        <v>1</v>
      </c>
      <c r="E359" s="82"/>
      <c r="F359" s="78">
        <v>0.96980515251594113</v>
      </c>
      <c r="G359" s="82"/>
      <c r="H359" s="78">
        <v>3.0022870657172535E-2</v>
      </c>
      <c r="I359" s="78">
        <v>1.719768268863525E-4</v>
      </c>
      <c r="J359" s="78"/>
      <c r="K359" s="78"/>
      <c r="L359" s="78">
        <v>0</v>
      </c>
      <c r="M359" s="78"/>
      <c r="N359" s="78">
        <v>1.719768268863525E-4</v>
      </c>
      <c r="O359" s="78">
        <v>1.6821303136537526E-4</v>
      </c>
      <c r="P359" s="78">
        <v>3.7637955209772364E-6</v>
      </c>
      <c r="Q359" s="78">
        <v>0</v>
      </c>
    </row>
    <row r="360" spans="1:17" x14ac:dyDescent="0.2">
      <c r="A360" s="32">
        <v>21</v>
      </c>
      <c r="D360" s="78"/>
      <c r="E360" s="82"/>
      <c r="F360" s="78"/>
      <c r="G360" s="82"/>
      <c r="H360" s="78"/>
      <c r="I360" s="78"/>
      <c r="J360" s="78"/>
      <c r="K360" s="78"/>
      <c r="L360" s="78"/>
      <c r="M360" s="78"/>
      <c r="N360" s="78"/>
      <c r="O360" s="78"/>
      <c r="P360" s="78"/>
      <c r="Q360" s="78"/>
    </row>
    <row r="361" spans="1:17" x14ac:dyDescent="0.2">
      <c r="A361" s="32">
        <v>22</v>
      </c>
      <c r="D361" s="78"/>
      <c r="E361" s="82"/>
      <c r="F361" s="78"/>
      <c r="G361" s="82"/>
      <c r="H361" s="78"/>
      <c r="I361" s="78"/>
      <c r="J361" s="78"/>
      <c r="K361" s="78"/>
      <c r="L361" s="78"/>
      <c r="M361" s="78"/>
      <c r="N361" s="78"/>
      <c r="O361" s="78"/>
      <c r="P361" s="78"/>
      <c r="Q361" s="78"/>
    </row>
    <row r="362" spans="1:17" x14ac:dyDescent="0.2">
      <c r="A362" s="32">
        <v>23</v>
      </c>
      <c r="D362" s="78"/>
      <c r="E362" s="82"/>
      <c r="F362" s="78"/>
      <c r="G362" s="82"/>
      <c r="H362" s="78"/>
      <c r="I362" s="78"/>
      <c r="J362" s="78"/>
      <c r="K362" s="78"/>
      <c r="L362" s="78"/>
      <c r="M362" s="78"/>
      <c r="N362" s="78"/>
      <c r="O362" s="78"/>
      <c r="P362" s="78"/>
      <c r="Q362" s="78"/>
    </row>
    <row r="363" spans="1:17" x14ac:dyDescent="0.2">
      <c r="A363" s="32">
        <v>24</v>
      </c>
      <c r="D363" s="78"/>
      <c r="E363" s="82"/>
      <c r="F363" s="78"/>
      <c r="G363" s="82"/>
      <c r="H363" s="78"/>
      <c r="I363" s="78"/>
      <c r="J363" s="78"/>
      <c r="K363" s="78"/>
      <c r="L363" s="78"/>
      <c r="M363" s="78"/>
      <c r="N363" s="78"/>
      <c r="O363" s="78"/>
      <c r="P363" s="78"/>
      <c r="Q363" s="78"/>
    </row>
    <row r="364" spans="1:17" x14ac:dyDescent="0.2">
      <c r="A364" s="32">
        <v>25</v>
      </c>
      <c r="D364" s="78"/>
      <c r="E364" s="82"/>
      <c r="F364" s="78"/>
      <c r="G364" s="82"/>
      <c r="H364" s="78"/>
      <c r="I364" s="78"/>
      <c r="J364" s="78"/>
      <c r="K364" s="78"/>
      <c r="L364" s="78"/>
      <c r="M364" s="78"/>
      <c r="N364" s="78"/>
      <c r="O364" s="78"/>
      <c r="P364" s="78"/>
      <c r="Q364" s="78"/>
    </row>
    <row r="365" spans="1:17" x14ac:dyDescent="0.2">
      <c r="D365" s="78"/>
      <c r="E365" s="82"/>
      <c r="F365" s="78"/>
      <c r="G365" s="82"/>
      <c r="H365" s="78"/>
      <c r="I365" s="78"/>
      <c r="J365" s="78"/>
      <c r="K365" s="78"/>
      <c r="L365" s="78"/>
      <c r="M365" s="78"/>
      <c r="N365" s="78"/>
      <c r="O365" s="78"/>
      <c r="P365" s="78"/>
      <c r="Q365" s="78"/>
    </row>
    <row r="366" spans="1:17" x14ac:dyDescent="0.2">
      <c r="B366" s="32" t="s">
        <v>1838</v>
      </c>
      <c r="D366" s="78"/>
      <c r="E366" s="82"/>
      <c r="F366" s="78"/>
      <c r="G366" s="82"/>
      <c r="H366" s="78"/>
      <c r="I366" s="78"/>
      <c r="J366" s="78"/>
      <c r="K366" s="78"/>
      <c r="L366" s="78"/>
      <c r="M366" s="78"/>
      <c r="N366" s="78"/>
      <c r="O366" s="78"/>
      <c r="P366" s="78"/>
      <c r="Q366" s="78"/>
    </row>
    <row r="367" spans="1:17" x14ac:dyDescent="0.2">
      <c r="B367" s="32" t="s">
        <v>1670</v>
      </c>
      <c r="D367" s="78"/>
      <c r="E367" s="82"/>
      <c r="F367" s="78"/>
      <c r="G367" s="82"/>
      <c r="H367" s="78"/>
      <c r="I367" s="78"/>
      <c r="J367" s="78"/>
      <c r="K367" s="78"/>
      <c r="L367" s="78"/>
      <c r="M367" s="78"/>
      <c r="N367" s="78"/>
      <c r="O367" s="78"/>
      <c r="P367" s="78"/>
      <c r="Q367" s="78"/>
    </row>
    <row r="368" spans="1:17" x14ac:dyDescent="0.2">
      <c r="A368" s="32">
        <v>1</v>
      </c>
      <c r="B368" s="32" t="s">
        <v>1839</v>
      </c>
      <c r="C368" s="32" t="s">
        <v>1840</v>
      </c>
      <c r="D368" s="78">
        <v>1</v>
      </c>
      <c r="E368" s="82"/>
      <c r="F368" s="78">
        <v>0.87069393411336549</v>
      </c>
      <c r="G368" s="82"/>
      <c r="H368" s="78">
        <v>5.9394533807123652E-2</v>
      </c>
      <c r="I368" s="78">
        <v>6.991153207951091E-2</v>
      </c>
      <c r="J368" s="78"/>
      <c r="K368" s="78"/>
      <c r="L368" s="78">
        <v>3.153235764200856E-5</v>
      </c>
      <c r="M368" s="78"/>
      <c r="N368" s="78">
        <v>6.9879999721868896E-2</v>
      </c>
      <c r="O368" s="78">
        <v>2.2187681801154498E-2</v>
      </c>
      <c r="P368" s="78">
        <v>4.7692317920714405E-2</v>
      </c>
      <c r="Q368" s="78">
        <v>1.3629278232060983E-21</v>
      </c>
    </row>
    <row r="369" spans="1:17" x14ac:dyDescent="0.2">
      <c r="A369" s="32">
        <v>2</v>
      </c>
      <c r="B369" s="32" t="s">
        <v>1841</v>
      </c>
      <c r="C369" s="32" t="s">
        <v>1842</v>
      </c>
      <c r="D369" s="78">
        <v>1</v>
      </c>
      <c r="E369" s="82"/>
      <c r="F369" s="78">
        <v>1</v>
      </c>
      <c r="G369" s="82"/>
      <c r="H369" s="78">
        <v>0</v>
      </c>
      <c r="I369" s="78">
        <v>0</v>
      </c>
      <c r="J369" s="78"/>
      <c r="K369" s="78"/>
      <c r="L369" s="78">
        <v>0</v>
      </c>
      <c r="M369" s="78"/>
      <c r="N369" s="78">
        <v>0</v>
      </c>
      <c r="O369" s="78">
        <v>0</v>
      </c>
      <c r="P369" s="78">
        <v>0</v>
      </c>
      <c r="Q369" s="78">
        <v>0</v>
      </c>
    </row>
    <row r="370" spans="1:17" x14ac:dyDescent="0.2">
      <c r="A370" s="32">
        <v>3</v>
      </c>
      <c r="B370" s="32" t="s">
        <v>1843</v>
      </c>
      <c r="C370" s="32" t="s">
        <v>1844</v>
      </c>
      <c r="D370" s="78">
        <v>0.99999999999999989</v>
      </c>
      <c r="E370" s="82"/>
      <c r="F370" s="78">
        <v>0.889378826025083</v>
      </c>
      <c r="G370" s="82"/>
      <c r="H370" s="78">
        <v>5.4792985936032601E-2</v>
      </c>
      <c r="I370" s="78">
        <v>5.5828188038884292E-2</v>
      </c>
      <c r="J370" s="78"/>
      <c r="K370" s="78"/>
      <c r="L370" s="78">
        <v>3.0698630802607451E-5</v>
      </c>
      <c r="M370" s="78"/>
      <c r="N370" s="78">
        <v>5.5797489408081685E-2</v>
      </c>
      <c r="O370" s="78">
        <v>1.812651544897452E-2</v>
      </c>
      <c r="P370" s="78">
        <v>3.7670973959107165E-2</v>
      </c>
      <c r="Q370" s="78">
        <v>6.2578097021888344E-20</v>
      </c>
    </row>
    <row r="371" spans="1:17" x14ac:dyDescent="0.2">
      <c r="A371" s="32">
        <v>4</v>
      </c>
      <c r="B371" s="32" t="s">
        <v>1843</v>
      </c>
      <c r="C371" s="32" t="s">
        <v>1848</v>
      </c>
      <c r="D371" s="78">
        <v>0.99999999999999989</v>
      </c>
      <c r="E371" s="82"/>
      <c r="F371" s="78">
        <v>0.889378826025083</v>
      </c>
      <c r="G371" s="82"/>
      <c r="H371" s="78">
        <v>5.4792985936032601E-2</v>
      </c>
      <c r="I371" s="78">
        <v>5.5828188038884306E-2</v>
      </c>
      <c r="J371" s="78"/>
      <c r="K371" s="78"/>
      <c r="L371" s="78">
        <v>3.0698630802607458E-5</v>
      </c>
      <c r="M371" s="78"/>
      <c r="N371" s="78">
        <v>5.5797489408081699E-2</v>
      </c>
      <c r="O371" s="78">
        <v>1.8126515448974524E-2</v>
      </c>
      <c r="P371" s="78">
        <v>3.7670973959107172E-2</v>
      </c>
      <c r="Q371" s="78">
        <v>0</v>
      </c>
    </row>
    <row r="372" spans="1:17" x14ac:dyDescent="0.2">
      <c r="A372" s="32">
        <v>5</v>
      </c>
      <c r="B372" s="32" t="s">
        <v>1845</v>
      </c>
      <c r="C372" s="32" t="s">
        <v>1846</v>
      </c>
      <c r="D372" s="78">
        <v>1</v>
      </c>
      <c r="E372" s="82"/>
      <c r="F372" s="78">
        <v>0.86549017314247356</v>
      </c>
      <c r="G372" s="82"/>
      <c r="H372" s="78">
        <v>5.0827668687646085E-2</v>
      </c>
      <c r="I372" s="78">
        <v>8.3682158169880339E-2</v>
      </c>
      <c r="J372" s="78"/>
      <c r="K372" s="78"/>
      <c r="L372" s="78">
        <v>7.6524644215064863E-6</v>
      </c>
      <c r="M372" s="78"/>
      <c r="N372" s="78">
        <v>8.3674505705458826E-2</v>
      </c>
      <c r="O372" s="78">
        <v>2.6108568792375518E-2</v>
      </c>
      <c r="P372" s="78">
        <v>5.7565936913083308E-2</v>
      </c>
      <c r="Q372" s="78">
        <v>0</v>
      </c>
    </row>
    <row r="373" spans="1:17" x14ac:dyDescent="0.2">
      <c r="A373" s="32">
        <v>6</v>
      </c>
      <c r="B373" s="32" t="s">
        <v>1849</v>
      </c>
      <c r="C373" s="32" t="s">
        <v>1850</v>
      </c>
      <c r="D373" s="78">
        <v>1</v>
      </c>
      <c r="E373" s="82"/>
      <c r="F373" s="78">
        <v>0.86549017314247356</v>
      </c>
      <c r="G373" s="82"/>
      <c r="H373" s="78">
        <v>5.0827668687646085E-2</v>
      </c>
      <c r="I373" s="78">
        <v>8.3682158169880339E-2</v>
      </c>
      <c r="J373" s="78"/>
      <c r="K373" s="78"/>
      <c r="L373" s="78">
        <v>7.652464421506488E-6</v>
      </c>
      <c r="M373" s="78"/>
      <c r="N373" s="78">
        <v>8.3674505705458826E-2</v>
      </c>
      <c r="O373" s="78">
        <v>2.6108568792375522E-2</v>
      </c>
      <c r="P373" s="78">
        <v>5.7565936913083302E-2</v>
      </c>
      <c r="Q373" s="78">
        <v>0</v>
      </c>
    </row>
    <row r="374" spans="1:17" x14ac:dyDescent="0.2">
      <c r="A374" s="32">
        <v>7</v>
      </c>
      <c r="B374" s="32" t="s">
        <v>1851</v>
      </c>
      <c r="C374" s="32" t="s">
        <v>1852</v>
      </c>
      <c r="D374" s="78">
        <v>1.0000000000000002</v>
      </c>
      <c r="E374" s="82"/>
      <c r="F374" s="78">
        <v>0.86549017314247367</v>
      </c>
      <c r="G374" s="82"/>
      <c r="H374" s="78">
        <v>5.0827668687646078E-2</v>
      </c>
      <c r="I374" s="78">
        <v>8.3682158169880352E-2</v>
      </c>
      <c r="J374" s="78"/>
      <c r="K374" s="78"/>
      <c r="L374" s="78">
        <v>7.6524644215064863E-6</v>
      </c>
      <c r="M374" s="78"/>
      <c r="N374" s="78">
        <v>8.367450570545884E-2</v>
      </c>
      <c r="O374" s="78">
        <v>2.6108568792375525E-2</v>
      </c>
      <c r="P374" s="78">
        <v>5.7565936913083315E-2</v>
      </c>
      <c r="Q374" s="78">
        <v>0</v>
      </c>
    </row>
    <row r="375" spans="1:17" x14ac:dyDescent="0.2">
      <c r="A375" s="32">
        <v>8</v>
      </c>
      <c r="B375" s="32" t="s">
        <v>1853</v>
      </c>
      <c r="C375" s="32" t="s">
        <v>1854</v>
      </c>
      <c r="D375" s="78">
        <v>1</v>
      </c>
      <c r="E375" s="82"/>
      <c r="F375" s="78">
        <v>0.85904272823294758</v>
      </c>
      <c r="G375" s="82"/>
      <c r="H375" s="78">
        <v>5.239046771966293E-2</v>
      </c>
      <c r="I375" s="78">
        <v>8.8566804047389577E-2</v>
      </c>
      <c r="J375" s="78"/>
      <c r="K375" s="78"/>
      <c r="L375" s="78">
        <v>7.5954576011972191E-6</v>
      </c>
      <c r="M375" s="78"/>
      <c r="N375" s="78">
        <v>8.8559208589788385E-2</v>
      </c>
      <c r="O375" s="78">
        <v>2.7632720028293881E-2</v>
      </c>
      <c r="P375" s="78">
        <v>6.0926488561494505E-2</v>
      </c>
      <c r="Q375" s="78">
        <v>0</v>
      </c>
    </row>
    <row r="376" spans="1:17" x14ac:dyDescent="0.2">
      <c r="A376" s="32">
        <v>9</v>
      </c>
      <c r="B376" s="32" t="s">
        <v>1855</v>
      </c>
      <c r="C376" s="32" t="s">
        <v>1856</v>
      </c>
      <c r="D376" s="78">
        <v>1</v>
      </c>
      <c r="E376" s="82"/>
      <c r="F376" s="78">
        <v>0</v>
      </c>
      <c r="G376" s="82"/>
      <c r="H376" s="78">
        <v>0.9998981235864246</v>
      </c>
      <c r="I376" s="78">
        <v>1.0187641357537594E-4</v>
      </c>
      <c r="J376" s="78"/>
      <c r="K376" s="78"/>
      <c r="L376" s="78">
        <v>0</v>
      </c>
      <c r="M376" s="78"/>
      <c r="N376" s="78">
        <v>1.0187641357537594E-4</v>
      </c>
      <c r="O376" s="78">
        <v>3.1788025871537078E-5</v>
      </c>
      <c r="P376" s="78">
        <v>7.0088387703838865E-5</v>
      </c>
      <c r="Q376" s="78">
        <v>0</v>
      </c>
    </row>
    <row r="377" spans="1:17" x14ac:dyDescent="0.2">
      <c r="A377" s="32">
        <v>10</v>
      </c>
      <c r="B377" s="32" t="s">
        <v>1857</v>
      </c>
      <c r="C377" s="32" t="s">
        <v>1858</v>
      </c>
      <c r="D377" s="78">
        <v>1</v>
      </c>
      <c r="E377" s="82"/>
      <c r="F377" s="78">
        <v>0.14232577723379158</v>
      </c>
      <c r="G377" s="82"/>
      <c r="H377" s="78">
        <v>0.84382711167009894</v>
      </c>
      <c r="I377" s="78">
        <v>1.3847111096109496E-2</v>
      </c>
      <c r="J377" s="78"/>
      <c r="K377" s="78"/>
      <c r="L377" s="78">
        <v>1.2584116843179426E-6</v>
      </c>
      <c r="M377" s="78"/>
      <c r="N377" s="78">
        <v>1.3845852684425178E-2</v>
      </c>
      <c r="O377" s="78">
        <v>4.3202573382734484E-3</v>
      </c>
      <c r="P377" s="78">
        <v>9.5255953461517301E-3</v>
      </c>
      <c r="Q377" s="78">
        <v>0</v>
      </c>
    </row>
    <row r="378" spans="1:17" x14ac:dyDescent="0.2">
      <c r="A378" s="32">
        <v>11</v>
      </c>
      <c r="B378" s="32" t="s">
        <v>1859</v>
      </c>
      <c r="C378" s="32" t="s">
        <v>1860</v>
      </c>
      <c r="D378" s="78">
        <v>1</v>
      </c>
      <c r="E378" s="82"/>
      <c r="F378" s="78">
        <v>0.94084668465142995</v>
      </c>
      <c r="G378" s="82"/>
      <c r="H378" s="78">
        <v>5.6025851478961691E-2</v>
      </c>
      <c r="I378" s="78">
        <v>3.1274638696084083E-3</v>
      </c>
      <c r="J378" s="78"/>
      <c r="K378" s="78"/>
      <c r="L378" s="78">
        <v>1.1301941664240649E-4</v>
      </c>
      <c r="M378" s="78"/>
      <c r="N378" s="78">
        <v>3.0144444529660018E-3</v>
      </c>
      <c r="O378" s="78">
        <v>2.5904362890761048E-3</v>
      </c>
      <c r="P378" s="78">
        <v>4.2400816388989679E-4</v>
      </c>
      <c r="Q378" s="78">
        <v>0</v>
      </c>
    </row>
    <row r="379" spans="1:17" x14ac:dyDescent="0.2">
      <c r="A379" s="32">
        <v>12</v>
      </c>
      <c r="B379" s="32" t="s">
        <v>1861</v>
      </c>
      <c r="C379" s="32" t="s">
        <v>1862</v>
      </c>
      <c r="D379" s="78">
        <v>1</v>
      </c>
      <c r="E379" s="82"/>
      <c r="F379" s="78">
        <v>0.99680626274351791</v>
      </c>
      <c r="G379" s="82"/>
      <c r="H379" s="78">
        <v>0</v>
      </c>
      <c r="I379" s="78">
        <v>3.1937372564821327E-3</v>
      </c>
      <c r="J379" s="78"/>
      <c r="K379" s="78"/>
      <c r="L379" s="78">
        <v>0</v>
      </c>
      <c r="M379" s="78"/>
      <c r="N379" s="78">
        <v>3.1937372564821327E-3</v>
      </c>
      <c r="O379" s="78">
        <v>2.7445099805456542E-3</v>
      </c>
      <c r="P379" s="78">
        <v>4.492272759364787E-4</v>
      </c>
      <c r="Q379" s="78">
        <v>0</v>
      </c>
    </row>
    <row r="380" spans="1:17" x14ac:dyDescent="0.2">
      <c r="A380" s="32">
        <v>13</v>
      </c>
      <c r="B380" s="32" t="s">
        <v>1863</v>
      </c>
      <c r="C380" s="32" t="s">
        <v>1864</v>
      </c>
      <c r="D380" s="78">
        <v>1</v>
      </c>
      <c r="E380" s="82"/>
      <c r="F380" s="78">
        <v>0.889378826025083</v>
      </c>
      <c r="G380" s="82"/>
      <c r="H380" s="78">
        <v>5.4792985936032615E-2</v>
      </c>
      <c r="I380" s="78">
        <v>5.5828188038884306E-2</v>
      </c>
      <c r="J380" s="78"/>
      <c r="K380" s="78"/>
      <c r="L380" s="78">
        <v>3.0698630802607458E-5</v>
      </c>
      <c r="M380" s="78"/>
      <c r="N380" s="78">
        <v>5.5797489408081699E-2</v>
      </c>
      <c r="O380" s="78">
        <v>1.8126515448974527E-2</v>
      </c>
      <c r="P380" s="78">
        <v>3.7670973959107172E-2</v>
      </c>
      <c r="Q380" s="78">
        <v>6.2578097021888356E-20</v>
      </c>
    </row>
    <row r="381" spans="1:17" x14ac:dyDescent="0.2">
      <c r="A381" s="32">
        <v>14</v>
      </c>
      <c r="B381" s="32" t="s">
        <v>1865</v>
      </c>
      <c r="C381" s="32" t="s">
        <v>2456</v>
      </c>
      <c r="D381" s="78">
        <v>1</v>
      </c>
      <c r="E381" s="82"/>
      <c r="F381" s="78">
        <v>1</v>
      </c>
      <c r="G381" s="82"/>
      <c r="H381" s="78">
        <v>0</v>
      </c>
      <c r="I381" s="78">
        <v>0</v>
      </c>
      <c r="J381" s="78"/>
      <c r="K381" s="78"/>
      <c r="L381" s="78">
        <v>0</v>
      </c>
      <c r="M381" s="78"/>
      <c r="N381" s="78">
        <v>0</v>
      </c>
      <c r="O381" s="78">
        <v>0</v>
      </c>
      <c r="P381" s="78">
        <v>0</v>
      </c>
      <c r="Q381" s="78">
        <v>0</v>
      </c>
    </row>
    <row r="382" spans="1:17" x14ac:dyDescent="0.2">
      <c r="A382" s="32">
        <v>15</v>
      </c>
      <c r="B382" s="32" t="s">
        <v>600</v>
      </c>
      <c r="C382" s="32" t="s">
        <v>2457</v>
      </c>
      <c r="D382" s="78">
        <v>1</v>
      </c>
      <c r="E382" s="82"/>
      <c r="F382" s="78">
        <v>0.87069393411336549</v>
      </c>
      <c r="G382" s="82"/>
      <c r="H382" s="78">
        <v>5.9394533807123652E-2</v>
      </c>
      <c r="I382" s="78">
        <v>6.991153207951091E-2</v>
      </c>
      <c r="J382" s="78"/>
      <c r="K382" s="78"/>
      <c r="L382" s="78">
        <v>3.153235764200856E-5</v>
      </c>
      <c r="M382" s="78"/>
      <c r="N382" s="78">
        <v>6.9879999721868896E-2</v>
      </c>
      <c r="O382" s="78">
        <v>2.2187681801154498E-2</v>
      </c>
      <c r="P382" s="78">
        <v>4.7692317920714405E-2</v>
      </c>
      <c r="Q382" s="78">
        <v>1.3629278232060985E-21</v>
      </c>
    </row>
    <row r="383" spans="1:17" x14ac:dyDescent="0.2">
      <c r="A383" s="32">
        <v>16</v>
      </c>
      <c r="B383" s="32" t="s">
        <v>601</v>
      </c>
      <c r="C383" s="32" t="s">
        <v>602</v>
      </c>
      <c r="D383" s="78">
        <v>1</v>
      </c>
      <c r="E383" s="82"/>
      <c r="F383" s="78">
        <v>0.86549017314247356</v>
      </c>
      <c r="G383" s="82"/>
      <c r="H383" s="78">
        <v>5.0827668687646071E-2</v>
      </c>
      <c r="I383" s="78">
        <v>8.3682158169880325E-2</v>
      </c>
      <c r="J383" s="78"/>
      <c r="K383" s="78"/>
      <c r="L383" s="78">
        <v>7.6524644215064863E-6</v>
      </c>
      <c r="M383" s="78"/>
      <c r="N383" s="78">
        <v>8.3674505705458813E-2</v>
      </c>
      <c r="O383" s="78">
        <v>2.6108568792375518E-2</v>
      </c>
      <c r="P383" s="78">
        <v>5.7565936913083302E-2</v>
      </c>
      <c r="Q383" s="78">
        <v>0</v>
      </c>
    </row>
    <row r="384" spans="1:17" x14ac:dyDescent="0.2">
      <c r="A384" s="32">
        <v>17</v>
      </c>
      <c r="B384" s="32" t="s">
        <v>1201</v>
      </c>
      <c r="C384" s="32" t="s">
        <v>1202</v>
      </c>
      <c r="D384" s="78">
        <v>1</v>
      </c>
      <c r="E384" s="82"/>
      <c r="F384" s="78">
        <v>0.85693239087841977</v>
      </c>
      <c r="G384" s="82"/>
      <c r="H384" s="78">
        <v>5.1868508658992278E-2</v>
      </c>
      <c r="I384" s="78">
        <v>9.1199100462587945E-2</v>
      </c>
      <c r="J384" s="78"/>
      <c r="K384" s="78"/>
      <c r="L384" s="78">
        <v>7.5767984852141167E-6</v>
      </c>
      <c r="M384" s="78"/>
      <c r="N384" s="78">
        <v>9.1191523664102728E-2</v>
      </c>
      <c r="O384" s="78">
        <v>2.8454069119292574E-2</v>
      </c>
      <c r="P384" s="78">
        <v>6.2737454544810153E-2</v>
      </c>
      <c r="Q384" s="78">
        <v>0</v>
      </c>
    </row>
    <row r="385" spans="1:17" x14ac:dyDescent="0.2">
      <c r="A385" s="32">
        <v>18</v>
      </c>
      <c r="B385" s="32" t="s">
        <v>1203</v>
      </c>
      <c r="C385" s="32" t="s">
        <v>1204</v>
      </c>
      <c r="D385" s="78">
        <v>1</v>
      </c>
      <c r="E385" s="82"/>
      <c r="F385" s="78">
        <v>0.80246280753473243</v>
      </c>
      <c r="G385" s="82"/>
      <c r="H385" s="78">
        <v>0.11486899915379654</v>
      </c>
      <c r="I385" s="78">
        <v>8.2668193311471044E-2</v>
      </c>
      <c r="J385" s="78"/>
      <c r="K385" s="78"/>
      <c r="L385" s="78">
        <v>7.0951909967334427E-6</v>
      </c>
      <c r="M385" s="78"/>
      <c r="N385" s="78">
        <v>8.2661098120474313E-2</v>
      </c>
      <c r="O385" s="78">
        <v>2.5792359913408013E-2</v>
      </c>
      <c r="P385" s="78">
        <v>5.6868738207066297E-2</v>
      </c>
      <c r="Q385" s="78">
        <v>0</v>
      </c>
    </row>
    <row r="386" spans="1:17" x14ac:dyDescent="0.2">
      <c r="A386" s="32">
        <v>19</v>
      </c>
      <c r="B386" s="32" t="s">
        <v>1205</v>
      </c>
      <c r="C386" s="32" t="s">
        <v>1206</v>
      </c>
      <c r="D386" s="78">
        <v>1</v>
      </c>
      <c r="E386" s="82"/>
      <c r="F386" s="78">
        <v>0.86664594038188369</v>
      </c>
      <c r="G386" s="82"/>
      <c r="H386" s="78">
        <v>5.8973457580167699E-2</v>
      </c>
      <c r="I386" s="78">
        <v>7.438060203794869E-2</v>
      </c>
      <c r="J386" s="78"/>
      <c r="K386" s="78"/>
      <c r="L386" s="78">
        <v>2.663425465374707E-5</v>
      </c>
      <c r="M386" s="78"/>
      <c r="N386" s="78">
        <v>7.435396778329495E-2</v>
      </c>
      <c r="O386" s="78">
        <v>2.3499274876262501E-2</v>
      </c>
      <c r="P386" s="78">
        <v>5.0854692907032449E-2</v>
      </c>
      <c r="Q386" s="78">
        <v>0</v>
      </c>
    </row>
    <row r="387" spans="1:17" x14ac:dyDescent="0.2">
      <c r="A387" s="32">
        <v>20</v>
      </c>
      <c r="B387" s="32" t="s">
        <v>1207</v>
      </c>
      <c r="C387" s="32" t="s">
        <v>2458</v>
      </c>
      <c r="D387" s="78">
        <v>1</v>
      </c>
      <c r="E387" s="82"/>
      <c r="F387" s="78">
        <v>0.87918431421558041</v>
      </c>
      <c r="G387" s="82"/>
      <c r="H387" s="78">
        <v>5.7303469550810747E-2</v>
      </c>
      <c r="I387" s="78">
        <v>6.3512216233608795E-2</v>
      </c>
      <c r="J387" s="78"/>
      <c r="K387" s="78"/>
      <c r="L387" s="78">
        <v>3.1153392648877589E-5</v>
      </c>
      <c r="M387" s="78"/>
      <c r="N387" s="78">
        <v>6.3481062840959918E-2</v>
      </c>
      <c r="O387" s="78">
        <v>2.0342323177227332E-2</v>
      </c>
      <c r="P387" s="78">
        <v>4.3138739663732592E-2</v>
      </c>
      <c r="Q387" s="78">
        <v>2.9176989535049218E-20</v>
      </c>
    </row>
    <row r="388" spans="1:17" x14ac:dyDescent="0.2">
      <c r="A388" s="32">
        <v>21</v>
      </c>
      <c r="B388" s="32" t="s">
        <v>1208</v>
      </c>
      <c r="C388" s="32" t="s">
        <v>2459</v>
      </c>
      <c r="D388" s="78">
        <v>1</v>
      </c>
      <c r="E388" s="82"/>
      <c r="F388" s="78">
        <v>1</v>
      </c>
      <c r="G388" s="82"/>
      <c r="H388" s="78">
        <v>0</v>
      </c>
      <c r="I388" s="78">
        <v>0</v>
      </c>
      <c r="J388" s="78"/>
      <c r="K388" s="78"/>
      <c r="L388" s="78">
        <v>0</v>
      </c>
      <c r="M388" s="78"/>
      <c r="N388" s="78">
        <v>0</v>
      </c>
      <c r="O388" s="78">
        <v>0</v>
      </c>
      <c r="P388" s="78">
        <v>0</v>
      </c>
      <c r="Q388" s="78">
        <v>0</v>
      </c>
    </row>
    <row r="389" spans="1:17" x14ac:dyDescent="0.2">
      <c r="A389" s="32">
        <v>22</v>
      </c>
      <c r="B389" s="32" t="s">
        <v>1209</v>
      </c>
      <c r="C389" s="32" t="s">
        <v>1210</v>
      </c>
      <c r="D389" s="78">
        <v>1</v>
      </c>
      <c r="E389" s="82"/>
      <c r="F389" s="78">
        <v>0</v>
      </c>
      <c r="G389" s="82"/>
      <c r="H389" s="78">
        <v>0</v>
      </c>
      <c r="I389" s="78">
        <v>1</v>
      </c>
      <c r="J389" s="78"/>
      <c r="K389" s="78"/>
      <c r="L389" s="78">
        <v>0</v>
      </c>
      <c r="M389" s="78"/>
      <c r="N389" s="78">
        <v>1</v>
      </c>
      <c r="O389" s="78">
        <v>0.31202537227145194</v>
      </c>
      <c r="P389" s="78">
        <v>0.687974627728548</v>
      </c>
      <c r="Q389" s="78">
        <v>0</v>
      </c>
    </row>
    <row r="390" spans="1:17" x14ac:dyDescent="0.2">
      <c r="A390" s="32">
        <v>23</v>
      </c>
      <c r="B390" s="32" t="s">
        <v>1211</v>
      </c>
      <c r="C390" s="32" t="s">
        <v>1212</v>
      </c>
      <c r="D390" s="78">
        <v>1</v>
      </c>
      <c r="E390" s="82"/>
      <c r="F390" s="78">
        <v>0</v>
      </c>
      <c r="G390" s="82"/>
      <c r="H390" s="78">
        <v>0</v>
      </c>
      <c r="I390" s="78">
        <v>1</v>
      </c>
      <c r="J390" s="78"/>
      <c r="K390" s="78"/>
      <c r="L390" s="78">
        <v>0</v>
      </c>
      <c r="M390" s="78"/>
      <c r="N390" s="78">
        <v>1</v>
      </c>
      <c r="O390" s="78">
        <v>0.31202537227145188</v>
      </c>
      <c r="P390" s="78">
        <v>0.68797462772854823</v>
      </c>
      <c r="Q390" s="78">
        <v>0</v>
      </c>
    </row>
    <row r="391" spans="1:17" x14ac:dyDescent="0.2">
      <c r="A391" s="32">
        <v>24</v>
      </c>
      <c r="B391" s="32" t="s">
        <v>1213</v>
      </c>
      <c r="C391" s="32" t="s">
        <v>2221</v>
      </c>
      <c r="D391" s="78">
        <v>1</v>
      </c>
      <c r="E391" s="82"/>
      <c r="F391" s="78">
        <v>0</v>
      </c>
      <c r="G391" s="82"/>
      <c r="H391" s="78">
        <v>0</v>
      </c>
      <c r="I391" s="78">
        <v>1</v>
      </c>
      <c r="J391" s="78"/>
      <c r="K391" s="78"/>
      <c r="L391" s="78">
        <v>0</v>
      </c>
      <c r="M391" s="78"/>
      <c r="N391" s="78">
        <v>1</v>
      </c>
      <c r="O391" s="78">
        <v>0.312025372271452</v>
      </c>
      <c r="P391" s="78">
        <v>0.687974627728548</v>
      </c>
      <c r="Q391" s="78">
        <v>0</v>
      </c>
    </row>
    <row r="392" spans="1:17" x14ac:dyDescent="0.2">
      <c r="A392" s="32">
        <v>25</v>
      </c>
      <c r="B392" s="32" t="s">
        <v>1214</v>
      </c>
      <c r="C392" s="32" t="s">
        <v>2222</v>
      </c>
      <c r="D392" s="78">
        <v>1</v>
      </c>
      <c r="E392" s="82"/>
      <c r="F392" s="78">
        <v>0</v>
      </c>
      <c r="G392" s="82"/>
      <c r="H392" s="78">
        <v>0</v>
      </c>
      <c r="I392" s="78">
        <v>1</v>
      </c>
      <c r="J392" s="78"/>
      <c r="K392" s="78"/>
      <c r="L392" s="78">
        <v>0</v>
      </c>
      <c r="M392" s="78"/>
      <c r="N392" s="78">
        <v>1</v>
      </c>
      <c r="O392" s="78">
        <v>0.31202537227145183</v>
      </c>
      <c r="P392" s="78">
        <v>0.68797462772854823</v>
      </c>
      <c r="Q392" s="78">
        <v>0</v>
      </c>
    </row>
    <row r="393" spans="1:17" x14ac:dyDescent="0.2">
      <c r="A393" s="32">
        <v>26</v>
      </c>
      <c r="B393" s="32" t="s">
        <v>1215</v>
      </c>
      <c r="C393" s="32" t="s">
        <v>1216</v>
      </c>
      <c r="D393" s="78">
        <v>1</v>
      </c>
      <c r="E393" s="82"/>
      <c r="F393" s="78">
        <v>0.85904272823294758</v>
      </c>
      <c r="G393" s="82"/>
      <c r="H393" s="78">
        <v>5.239046771966293E-2</v>
      </c>
      <c r="I393" s="78">
        <v>8.8566804047389577E-2</v>
      </c>
      <c r="J393" s="78"/>
      <c r="K393" s="78"/>
      <c r="L393" s="78">
        <v>7.5954576011972191E-6</v>
      </c>
      <c r="M393" s="78"/>
      <c r="N393" s="78">
        <v>8.8559208589788385E-2</v>
      </c>
      <c r="O393" s="78">
        <v>2.7632720028293881E-2</v>
      </c>
      <c r="P393" s="78">
        <v>6.0926488561494505E-2</v>
      </c>
      <c r="Q393" s="78">
        <v>0</v>
      </c>
    </row>
    <row r="394" spans="1:17" x14ac:dyDescent="0.2">
      <c r="A394" s="32">
        <v>27</v>
      </c>
      <c r="B394" s="32" t="s">
        <v>1872</v>
      </c>
      <c r="C394" s="32" t="s">
        <v>1759</v>
      </c>
      <c r="D394" s="78">
        <v>1</v>
      </c>
      <c r="E394" s="82"/>
      <c r="F394" s="78">
        <v>0.14232577723379158</v>
      </c>
      <c r="G394" s="82"/>
      <c r="H394" s="78">
        <v>0.84382711167009894</v>
      </c>
      <c r="I394" s="78">
        <v>1.3847111096109496E-2</v>
      </c>
      <c r="J394" s="78"/>
      <c r="K394" s="78"/>
      <c r="L394" s="78">
        <v>1.2584116843179426E-6</v>
      </c>
      <c r="M394" s="78"/>
      <c r="N394" s="78">
        <v>1.3845852684425178E-2</v>
      </c>
      <c r="O394" s="78">
        <v>4.3202573382734484E-3</v>
      </c>
      <c r="P394" s="78">
        <v>9.5255953461517301E-3</v>
      </c>
      <c r="Q394" s="78">
        <v>0</v>
      </c>
    </row>
    <row r="395" spans="1:17" x14ac:dyDescent="0.2">
      <c r="A395" s="32">
        <v>28</v>
      </c>
      <c r="B395" s="32" t="s">
        <v>1760</v>
      </c>
      <c r="C395" s="32" t="s">
        <v>2460</v>
      </c>
      <c r="D395" s="78">
        <v>1</v>
      </c>
      <c r="E395" s="82"/>
      <c r="F395" s="78">
        <v>0.92494067000166846</v>
      </c>
      <c r="G395" s="82"/>
      <c r="H395" s="78">
        <v>7.4895952198311397E-2</v>
      </c>
      <c r="I395" s="78">
        <v>1.6337780002018083E-4</v>
      </c>
      <c r="J395" s="78"/>
      <c r="K395" s="78"/>
      <c r="L395" s="78">
        <v>1.6337780002018083E-4</v>
      </c>
      <c r="M395" s="78"/>
      <c r="N395" s="78">
        <v>0</v>
      </c>
      <c r="O395" s="78">
        <v>0</v>
      </c>
      <c r="P395" s="78">
        <v>0</v>
      </c>
      <c r="Q395" s="78">
        <v>0</v>
      </c>
    </row>
    <row r="396" spans="1:17" x14ac:dyDescent="0.2">
      <c r="A396" s="32">
        <v>29</v>
      </c>
      <c r="B396" s="32" t="s">
        <v>1761</v>
      </c>
      <c r="C396" s="32" t="s">
        <v>1762</v>
      </c>
      <c r="D396" s="78">
        <v>1</v>
      </c>
      <c r="E396" s="82"/>
      <c r="F396" s="78">
        <v>0.87069504779313966</v>
      </c>
      <c r="G396" s="82"/>
      <c r="H396" s="78">
        <v>5.9394022257332528E-2</v>
      </c>
      <c r="I396" s="78">
        <v>6.9910929949527884E-2</v>
      </c>
      <c r="J396" s="78"/>
      <c r="K396" s="78"/>
      <c r="L396" s="78">
        <v>3.1532086061950063E-5</v>
      </c>
      <c r="M396" s="78"/>
      <c r="N396" s="78">
        <v>6.9879397863465934E-2</v>
      </c>
      <c r="O396" s="78">
        <v>2.2187490704377345E-2</v>
      </c>
      <c r="P396" s="78">
        <v>4.7691907159088588E-2</v>
      </c>
      <c r="Q396" s="78">
        <v>1.3629160846605018E-21</v>
      </c>
    </row>
    <row r="397" spans="1:17" x14ac:dyDescent="0.2">
      <c r="A397" s="32">
        <v>30</v>
      </c>
      <c r="B397" s="32" t="s">
        <v>1763</v>
      </c>
      <c r="C397" s="32" t="s">
        <v>1764</v>
      </c>
      <c r="D397" s="78">
        <v>1</v>
      </c>
      <c r="E397" s="82"/>
      <c r="F397" s="78">
        <v>1</v>
      </c>
      <c r="G397" s="82"/>
      <c r="H397" s="78">
        <v>0</v>
      </c>
      <c r="I397" s="78">
        <v>0</v>
      </c>
      <c r="J397" s="78"/>
      <c r="K397" s="78"/>
      <c r="L397" s="78">
        <v>0</v>
      </c>
      <c r="M397" s="78"/>
      <c r="N397" s="78">
        <v>0</v>
      </c>
      <c r="O397" s="78">
        <v>0</v>
      </c>
      <c r="P397" s="78">
        <v>0</v>
      </c>
      <c r="Q397" s="78">
        <v>0</v>
      </c>
    </row>
    <row r="398" spans="1:17" x14ac:dyDescent="0.2">
      <c r="A398" s="32">
        <v>31</v>
      </c>
      <c r="B398" s="32" t="s">
        <v>1765</v>
      </c>
      <c r="C398" s="32" t="s">
        <v>1766</v>
      </c>
      <c r="D398" s="78">
        <v>1</v>
      </c>
      <c r="E398" s="82"/>
      <c r="F398" s="78">
        <v>0.92570561725745826</v>
      </c>
      <c r="G398" s="82"/>
      <c r="H398" s="78">
        <v>0</v>
      </c>
      <c r="I398" s="78">
        <v>7.4294382742541798E-2</v>
      </c>
      <c r="J398" s="78"/>
      <c r="K398" s="78"/>
      <c r="L398" s="78">
        <v>0</v>
      </c>
      <c r="M398" s="78"/>
      <c r="N398" s="78">
        <v>7.4294382742541798E-2</v>
      </c>
      <c r="O398" s="78">
        <v>2.3589297802885215E-2</v>
      </c>
      <c r="P398" s="78">
        <v>5.0705084939656586E-2</v>
      </c>
      <c r="Q398" s="78">
        <v>1.4490252110868947E-21</v>
      </c>
    </row>
    <row r="399" spans="1:17" x14ac:dyDescent="0.2">
      <c r="A399" s="32">
        <v>32</v>
      </c>
      <c r="B399" s="32" t="s">
        <v>1767</v>
      </c>
      <c r="C399" s="32" t="s">
        <v>1768</v>
      </c>
      <c r="D399" s="78">
        <v>1</v>
      </c>
      <c r="E399" s="82"/>
      <c r="F399" s="78">
        <v>0</v>
      </c>
      <c r="G399" s="82"/>
      <c r="H399" s="78">
        <v>1</v>
      </c>
      <c r="I399" s="78">
        <v>0</v>
      </c>
      <c r="J399" s="78"/>
      <c r="K399" s="78"/>
      <c r="L399" s="78">
        <v>0</v>
      </c>
      <c r="M399" s="78"/>
      <c r="N399" s="78">
        <v>0</v>
      </c>
      <c r="O399" s="78">
        <v>0</v>
      </c>
      <c r="P399" s="78">
        <v>0</v>
      </c>
      <c r="Q399" s="78">
        <v>0</v>
      </c>
    </row>
    <row r="400" spans="1:17" x14ac:dyDescent="0.2">
      <c r="A400" s="32">
        <v>33</v>
      </c>
      <c r="B400" s="32" t="s">
        <v>1769</v>
      </c>
      <c r="C400" s="32" t="s">
        <v>1770</v>
      </c>
      <c r="D400" s="78">
        <v>1</v>
      </c>
      <c r="E400" s="82"/>
      <c r="F400" s="78">
        <v>0.85611963191980278</v>
      </c>
      <c r="G400" s="82"/>
      <c r="H400" s="78">
        <v>5.2059651418386692E-2</v>
      </c>
      <c r="I400" s="78">
        <v>9.1820716661810589E-2</v>
      </c>
      <c r="J400" s="78"/>
      <c r="K400" s="78"/>
      <c r="L400" s="78">
        <v>7.5696122580250829E-6</v>
      </c>
      <c r="M400" s="78"/>
      <c r="N400" s="78">
        <v>9.1813147049552568E-2</v>
      </c>
      <c r="O400" s="78">
        <v>2.8648031387550198E-2</v>
      </c>
      <c r="P400" s="78">
        <v>6.3165115662002363E-2</v>
      </c>
      <c r="Q400" s="78">
        <v>0</v>
      </c>
    </row>
    <row r="401" spans="1:17" x14ac:dyDescent="0.2">
      <c r="A401" s="32">
        <v>34</v>
      </c>
      <c r="B401" s="32" t="s">
        <v>1771</v>
      </c>
      <c r="C401" s="32" t="s">
        <v>1772</v>
      </c>
      <c r="D401" s="78">
        <v>1</v>
      </c>
      <c r="E401" s="82"/>
      <c r="F401" s="78">
        <v>0.86368474428104458</v>
      </c>
      <c r="G401" s="82"/>
      <c r="H401" s="78">
        <v>5.0732417001093058E-2</v>
      </c>
      <c r="I401" s="78">
        <v>8.5582838717862389E-2</v>
      </c>
      <c r="J401" s="78"/>
      <c r="K401" s="78"/>
      <c r="L401" s="78">
        <v>7.6365012360696357E-6</v>
      </c>
      <c r="M401" s="78"/>
      <c r="N401" s="78">
        <v>8.5575202216626317E-2</v>
      </c>
      <c r="O401" s="78">
        <v>2.6701634328847604E-2</v>
      </c>
      <c r="P401" s="78">
        <v>5.8873567887778706E-2</v>
      </c>
      <c r="Q401" s="78">
        <v>0</v>
      </c>
    </row>
    <row r="402" spans="1:17" x14ac:dyDescent="0.2">
      <c r="A402" s="32">
        <v>35</v>
      </c>
      <c r="B402" s="32" t="s">
        <v>1773</v>
      </c>
      <c r="C402" s="32" t="s">
        <v>1774</v>
      </c>
      <c r="D402" s="78">
        <v>0.99999999999999989</v>
      </c>
      <c r="E402" s="82"/>
      <c r="F402" s="78">
        <v>0.86209606691412721</v>
      </c>
      <c r="G402" s="82"/>
      <c r="H402" s="78">
        <v>5.0629763313373821E-2</v>
      </c>
      <c r="I402" s="78">
        <v>8.7274169772498897E-2</v>
      </c>
      <c r="J402" s="78"/>
      <c r="K402" s="78"/>
      <c r="L402" s="78">
        <v>7.6224545173374668E-6</v>
      </c>
      <c r="M402" s="78"/>
      <c r="N402" s="78">
        <v>8.7266547317981558E-2</v>
      </c>
      <c r="O402" s="78">
        <v>2.7229376913737474E-2</v>
      </c>
      <c r="P402" s="78">
        <v>6.003717040424409E-2</v>
      </c>
      <c r="Q402" s="78">
        <v>0</v>
      </c>
    </row>
    <row r="403" spans="1:17" x14ac:dyDescent="0.2">
      <c r="A403" s="32">
        <v>36</v>
      </c>
      <c r="B403" s="32" t="s">
        <v>1129</v>
      </c>
      <c r="C403" s="32" t="s">
        <v>2461</v>
      </c>
      <c r="D403" s="78">
        <v>1</v>
      </c>
      <c r="E403" s="82"/>
      <c r="F403" s="78">
        <v>0.92493308786401529</v>
      </c>
      <c r="G403" s="82"/>
      <c r="H403" s="78">
        <v>5.2661464845952889E-2</v>
      </c>
      <c r="I403" s="78">
        <v>2.2405447290031782E-2</v>
      </c>
      <c r="J403" s="78"/>
      <c r="K403" s="78"/>
      <c r="L403" s="78">
        <v>4.021837124875913E-4</v>
      </c>
      <c r="M403" s="78"/>
      <c r="N403" s="78">
        <v>2.2003263577544192E-2</v>
      </c>
      <c r="O403" s="78">
        <v>2.2003263577544192E-2</v>
      </c>
      <c r="P403" s="78">
        <v>0</v>
      </c>
      <c r="Q403" s="78">
        <v>0</v>
      </c>
    </row>
    <row r="404" spans="1:17" x14ac:dyDescent="0.2">
      <c r="A404" s="32">
        <v>37</v>
      </c>
      <c r="B404" s="32" t="s">
        <v>1130</v>
      </c>
      <c r="C404" s="32" t="s">
        <v>2462</v>
      </c>
      <c r="D404" s="78">
        <v>1</v>
      </c>
      <c r="E404" s="82"/>
      <c r="F404" s="78">
        <v>0.98081979856482493</v>
      </c>
      <c r="G404" s="82"/>
      <c r="H404" s="78">
        <v>1.9180201435175154E-2</v>
      </c>
      <c r="I404" s="78">
        <v>0</v>
      </c>
      <c r="J404" s="78"/>
      <c r="K404" s="78"/>
      <c r="L404" s="78">
        <v>0</v>
      </c>
      <c r="M404" s="78"/>
      <c r="N404" s="78">
        <v>0</v>
      </c>
      <c r="O404" s="78">
        <v>0</v>
      </c>
      <c r="P404" s="78">
        <v>0</v>
      </c>
      <c r="Q404" s="78">
        <v>0</v>
      </c>
    </row>
    <row r="405" spans="1:17" x14ac:dyDescent="0.2">
      <c r="A405" s="32">
        <v>38</v>
      </c>
      <c r="B405" s="32" t="s">
        <v>1131</v>
      </c>
      <c r="C405" s="32" t="s">
        <v>2463</v>
      </c>
      <c r="D405" s="78">
        <v>0.99999999999999989</v>
      </c>
      <c r="E405" s="82"/>
      <c r="F405" s="78">
        <v>0.9754421211622113</v>
      </c>
      <c r="G405" s="82"/>
      <c r="H405" s="78">
        <v>2.4557878837788618E-2</v>
      </c>
      <c r="I405" s="78">
        <v>0</v>
      </c>
      <c r="J405" s="78"/>
      <c r="K405" s="78"/>
      <c r="L405" s="78">
        <v>0</v>
      </c>
      <c r="M405" s="78"/>
      <c r="N405" s="78">
        <v>0</v>
      </c>
      <c r="O405" s="78">
        <v>0</v>
      </c>
      <c r="P405" s="78">
        <v>0</v>
      </c>
      <c r="Q405" s="78">
        <v>0</v>
      </c>
    </row>
    <row r="406" spans="1:17" x14ac:dyDescent="0.2">
      <c r="A406" s="32">
        <v>39</v>
      </c>
      <c r="B406" s="32" t="s">
        <v>1132</v>
      </c>
      <c r="C406" s="32" t="s">
        <v>2464</v>
      </c>
      <c r="D406" s="78">
        <v>0.99999999999999989</v>
      </c>
      <c r="E406" s="82"/>
      <c r="F406" s="78">
        <v>0.94426776846942062</v>
      </c>
      <c r="G406" s="82"/>
      <c r="H406" s="78">
        <v>5.128860013544205E-2</v>
      </c>
      <c r="I406" s="78">
        <v>4.4436313951373013E-3</v>
      </c>
      <c r="J406" s="78"/>
      <c r="K406" s="78"/>
      <c r="L406" s="78">
        <v>1.5662184718989615E-6</v>
      </c>
      <c r="M406" s="78"/>
      <c r="N406" s="78">
        <v>4.4420651766654022E-3</v>
      </c>
      <c r="O406" s="78">
        <v>9.4343936058004566E-4</v>
      </c>
      <c r="P406" s="78">
        <v>3.4986258160853568E-3</v>
      </c>
      <c r="Q406" s="78">
        <v>0</v>
      </c>
    </row>
    <row r="407" spans="1:17" x14ac:dyDescent="0.2">
      <c r="A407" s="32">
        <v>40</v>
      </c>
      <c r="B407" s="32" t="s">
        <v>1133</v>
      </c>
      <c r="C407" s="32" t="s">
        <v>2465</v>
      </c>
      <c r="D407" s="78">
        <v>1</v>
      </c>
      <c r="E407" s="82"/>
      <c r="F407" s="78">
        <v>0.95305385619704963</v>
      </c>
      <c r="G407" s="82"/>
      <c r="H407" s="78">
        <v>4.694614380295032E-2</v>
      </c>
      <c r="I407" s="78">
        <v>0</v>
      </c>
      <c r="J407" s="78"/>
      <c r="K407" s="78"/>
      <c r="L407" s="78">
        <v>0</v>
      </c>
      <c r="M407" s="78"/>
      <c r="N407" s="78">
        <v>0</v>
      </c>
      <c r="O407" s="78">
        <v>0</v>
      </c>
      <c r="P407" s="78">
        <v>0</v>
      </c>
      <c r="Q407" s="78">
        <v>0</v>
      </c>
    </row>
    <row r="408" spans="1:17" x14ac:dyDescent="0.2">
      <c r="A408" s="32">
        <v>41</v>
      </c>
      <c r="B408" s="32" t="s">
        <v>1134</v>
      </c>
      <c r="C408" s="32" t="s">
        <v>2466</v>
      </c>
      <c r="D408" s="78">
        <v>1</v>
      </c>
      <c r="E408" s="82"/>
      <c r="F408" s="78">
        <v>0.94947088441247773</v>
      </c>
      <c r="G408" s="82"/>
      <c r="H408" s="78">
        <v>4.8702040580990445E-2</v>
      </c>
      <c r="I408" s="78">
        <v>1.8270750065318023E-3</v>
      </c>
      <c r="J408" s="78"/>
      <c r="K408" s="78"/>
      <c r="L408" s="78">
        <v>1.0829470171484312E-5</v>
      </c>
      <c r="M408" s="78"/>
      <c r="N408" s="78">
        <v>1.8162455363603179E-3</v>
      </c>
      <c r="O408" s="78">
        <v>5.6671468961919113E-4</v>
      </c>
      <c r="P408" s="78">
        <v>1.2495308467411269E-3</v>
      </c>
      <c r="Q408" s="78">
        <v>0</v>
      </c>
    </row>
    <row r="409" spans="1:17" x14ac:dyDescent="0.2">
      <c r="A409" s="32">
        <v>42</v>
      </c>
      <c r="B409" s="32" t="s">
        <v>1135</v>
      </c>
      <c r="C409" s="32" t="s">
        <v>2467</v>
      </c>
      <c r="D409" s="78">
        <v>1</v>
      </c>
      <c r="E409" s="82"/>
      <c r="F409" s="78">
        <v>0.94610805683145505</v>
      </c>
      <c r="G409" s="82"/>
      <c r="H409" s="78">
        <v>5.2647634542542641E-2</v>
      </c>
      <c r="I409" s="78">
        <v>1.2443086260023042E-3</v>
      </c>
      <c r="J409" s="78"/>
      <c r="K409" s="78"/>
      <c r="L409" s="78">
        <v>9.3657638516302438E-6</v>
      </c>
      <c r="M409" s="78"/>
      <c r="N409" s="78">
        <v>1.2349428621506739E-3</v>
      </c>
      <c r="O409" s="78">
        <v>6.6095533467219162E-4</v>
      </c>
      <c r="P409" s="78">
        <v>5.739875274784822E-4</v>
      </c>
      <c r="Q409" s="78">
        <v>0</v>
      </c>
    </row>
    <row r="410" spans="1:17" x14ac:dyDescent="0.2">
      <c r="A410" s="32">
        <v>43</v>
      </c>
      <c r="B410" s="32" t="s">
        <v>1136</v>
      </c>
      <c r="C410" s="32" t="s">
        <v>2468</v>
      </c>
      <c r="D410" s="78">
        <v>1</v>
      </c>
      <c r="E410" s="82"/>
      <c r="F410" s="78">
        <v>0.99938589165001168</v>
      </c>
      <c r="G410" s="82"/>
      <c r="H410" s="78">
        <v>6.1402411882548777E-4</v>
      </c>
      <c r="I410" s="78">
        <v>8.4231162773138706E-8</v>
      </c>
      <c r="J410" s="78"/>
      <c r="K410" s="78"/>
      <c r="L410" s="78">
        <v>8.4231162773138706E-8</v>
      </c>
      <c r="M410" s="78"/>
      <c r="N410" s="78">
        <v>0</v>
      </c>
      <c r="O410" s="78">
        <v>0</v>
      </c>
      <c r="P410" s="78">
        <v>0</v>
      </c>
      <c r="Q410" s="78">
        <v>0</v>
      </c>
    </row>
    <row r="411" spans="1:17" x14ac:dyDescent="0.2">
      <c r="A411" s="32">
        <v>44</v>
      </c>
      <c r="B411" s="32" t="s">
        <v>1137</v>
      </c>
      <c r="C411" s="32" t="s">
        <v>1138</v>
      </c>
      <c r="D411" s="78">
        <v>0.99999999999999989</v>
      </c>
      <c r="E411" s="82"/>
      <c r="F411" s="78">
        <v>0.8968667127582669</v>
      </c>
      <c r="G411" s="82"/>
      <c r="H411" s="78">
        <v>7.4726873843453681E-2</v>
      </c>
      <c r="I411" s="78">
        <v>2.8406413398279325E-2</v>
      </c>
      <c r="J411" s="78"/>
      <c r="K411" s="78"/>
      <c r="L411" s="78">
        <v>7.9355491597343238E-5</v>
      </c>
      <c r="M411" s="78"/>
      <c r="N411" s="78">
        <v>2.8327057906681982E-2</v>
      </c>
      <c r="O411" s="78">
        <v>9.9642718118727516E-3</v>
      </c>
      <c r="P411" s="78">
        <v>1.8362786094809232E-2</v>
      </c>
      <c r="Q411" s="78">
        <v>0</v>
      </c>
    </row>
    <row r="412" spans="1:17" x14ac:dyDescent="0.2">
      <c r="D412" s="78"/>
      <c r="E412" s="82"/>
      <c r="F412" s="78"/>
      <c r="G412" s="82"/>
      <c r="H412" s="78"/>
      <c r="I412" s="78"/>
      <c r="J412" s="78"/>
      <c r="K412" s="78"/>
      <c r="L412" s="78"/>
      <c r="M412" s="78"/>
      <c r="N412" s="78"/>
      <c r="O412" s="78"/>
      <c r="P412" s="78"/>
      <c r="Q412" s="78"/>
    </row>
    <row r="413" spans="1:17" x14ac:dyDescent="0.2">
      <c r="B413" s="32" t="s">
        <v>1139</v>
      </c>
      <c r="D413" s="78"/>
      <c r="E413" s="82"/>
      <c r="F413" s="78"/>
      <c r="G413" s="82"/>
      <c r="H413" s="78"/>
      <c r="I413" s="78"/>
      <c r="J413" s="78"/>
      <c r="K413" s="78"/>
      <c r="L413" s="78"/>
      <c r="M413" s="78"/>
      <c r="N413" s="78"/>
      <c r="O413" s="78"/>
      <c r="P413" s="78"/>
      <c r="Q413" s="78"/>
    </row>
    <row r="414" spans="1:17" x14ac:dyDescent="0.2">
      <c r="B414" s="32" t="s">
        <v>1670</v>
      </c>
      <c r="D414" s="78"/>
      <c r="E414" s="82"/>
      <c r="F414" s="78"/>
      <c r="G414" s="82"/>
      <c r="H414" s="78"/>
      <c r="I414" s="78"/>
      <c r="J414" s="78"/>
      <c r="K414" s="78"/>
      <c r="L414" s="78"/>
      <c r="M414" s="78"/>
      <c r="N414" s="78"/>
      <c r="O414" s="78"/>
      <c r="P414" s="78"/>
      <c r="Q414" s="78"/>
    </row>
    <row r="415" spans="1:17" x14ac:dyDescent="0.2">
      <c r="A415" s="32">
        <v>1</v>
      </c>
      <c r="B415" s="32" t="s">
        <v>1140</v>
      </c>
      <c r="C415" s="32" t="s">
        <v>2469</v>
      </c>
      <c r="D415" s="78">
        <v>0.99999999999999989</v>
      </c>
      <c r="E415" s="82"/>
      <c r="F415" s="78">
        <v>0.94596923008515077</v>
      </c>
      <c r="G415" s="82"/>
      <c r="H415" s="78">
        <v>5.4023359049037684E-2</v>
      </c>
      <c r="I415" s="78">
        <v>7.4108658114527512E-6</v>
      </c>
      <c r="J415" s="78"/>
      <c r="K415" s="78"/>
      <c r="L415" s="78">
        <v>7.4108658114527512E-6</v>
      </c>
      <c r="M415" s="78"/>
      <c r="N415" s="78">
        <v>0</v>
      </c>
      <c r="O415" s="78">
        <v>0</v>
      </c>
      <c r="P415" s="78">
        <v>0</v>
      </c>
      <c r="Q415" s="78">
        <v>0</v>
      </c>
    </row>
    <row r="416" spans="1:17" x14ac:dyDescent="0.2">
      <c r="A416" s="32">
        <v>2</v>
      </c>
      <c r="B416" s="32" t="s">
        <v>1141</v>
      </c>
      <c r="C416" s="32" t="s">
        <v>1142</v>
      </c>
      <c r="D416" s="78">
        <v>1</v>
      </c>
      <c r="E416" s="82"/>
      <c r="F416" s="78">
        <v>0</v>
      </c>
      <c r="G416" s="82"/>
      <c r="H416" s="78">
        <v>0</v>
      </c>
      <c r="I416" s="78">
        <v>1</v>
      </c>
      <c r="J416" s="78"/>
      <c r="K416" s="78"/>
      <c r="L416" s="78">
        <v>0</v>
      </c>
      <c r="M416" s="78"/>
      <c r="N416" s="78">
        <v>1</v>
      </c>
      <c r="O416" s="78">
        <v>0.32396730421988212</v>
      </c>
      <c r="P416" s="78">
        <v>0.67603269578011782</v>
      </c>
      <c r="Q416" s="78">
        <v>0</v>
      </c>
    </row>
    <row r="417" spans="1:17" x14ac:dyDescent="0.2">
      <c r="A417" s="32">
        <v>3</v>
      </c>
      <c r="B417" s="32" t="s">
        <v>1143</v>
      </c>
      <c r="C417" s="32" t="s">
        <v>1144</v>
      </c>
      <c r="D417" s="78">
        <v>1</v>
      </c>
      <c r="E417" s="82"/>
      <c r="F417" s="78">
        <v>0</v>
      </c>
      <c r="G417" s="82"/>
      <c r="H417" s="78">
        <v>1</v>
      </c>
      <c r="I417" s="78">
        <v>0</v>
      </c>
      <c r="J417" s="78"/>
      <c r="K417" s="78"/>
      <c r="L417" s="78">
        <v>0</v>
      </c>
      <c r="M417" s="78"/>
      <c r="N417" s="78">
        <v>0</v>
      </c>
      <c r="O417" s="78">
        <v>0</v>
      </c>
      <c r="P417" s="78">
        <v>0</v>
      </c>
      <c r="Q417" s="78">
        <v>0</v>
      </c>
    </row>
    <row r="418" spans="1:17" x14ac:dyDescent="0.2">
      <c r="A418" s="32">
        <v>4</v>
      </c>
      <c r="B418" s="32" t="s">
        <v>1145</v>
      </c>
      <c r="C418" s="32" t="s">
        <v>1146</v>
      </c>
      <c r="D418" s="78">
        <v>0.99999999999999978</v>
      </c>
      <c r="E418" s="82"/>
      <c r="F418" s="78">
        <v>0.88248752085399407</v>
      </c>
      <c r="G418" s="82"/>
      <c r="H418" s="78">
        <v>4.9900835606383739E-2</v>
      </c>
      <c r="I418" s="78">
        <v>6.7611643539622027E-2</v>
      </c>
      <c r="J418" s="78"/>
      <c r="K418" s="78"/>
      <c r="L418" s="78">
        <v>4.1521505971169084E-6</v>
      </c>
      <c r="M418" s="78"/>
      <c r="N418" s="78">
        <v>6.7607491389024915E-2</v>
      </c>
      <c r="O418" s="78">
        <v>2.1902616730371294E-2</v>
      </c>
      <c r="P418" s="78">
        <v>4.5704874658653617E-2</v>
      </c>
      <c r="Q418" s="78">
        <v>0</v>
      </c>
    </row>
    <row r="419" spans="1:17" x14ac:dyDescent="0.2">
      <c r="A419" s="32">
        <v>5</v>
      </c>
      <c r="B419" s="32" t="s">
        <v>1147</v>
      </c>
      <c r="C419" s="32" t="s">
        <v>1148</v>
      </c>
      <c r="D419" s="78">
        <v>1</v>
      </c>
      <c r="E419" s="82"/>
      <c r="F419" s="78">
        <v>0</v>
      </c>
      <c r="G419" s="82"/>
      <c r="H419" s="78">
        <v>1</v>
      </c>
      <c r="I419" s="78">
        <v>0</v>
      </c>
      <c r="J419" s="78"/>
      <c r="K419" s="78"/>
      <c r="L419" s="78">
        <v>0</v>
      </c>
      <c r="M419" s="78"/>
      <c r="N419" s="78">
        <v>0</v>
      </c>
      <c r="O419" s="78">
        <v>0</v>
      </c>
      <c r="P419" s="78">
        <v>0</v>
      </c>
      <c r="Q419" s="78">
        <v>0</v>
      </c>
    </row>
    <row r="420" spans="1:17" x14ac:dyDescent="0.2">
      <c r="A420" s="32">
        <v>6</v>
      </c>
      <c r="B420" s="32" t="s">
        <v>1149</v>
      </c>
      <c r="C420" s="32" t="s">
        <v>1150</v>
      </c>
      <c r="D420" s="78">
        <v>1</v>
      </c>
      <c r="E420" s="82"/>
      <c r="F420" s="78">
        <v>0.94647641707103969</v>
      </c>
      <c r="G420" s="82"/>
      <c r="H420" s="78">
        <v>5.3519129707212204E-2</v>
      </c>
      <c r="I420" s="78">
        <v>4.4532217481053604E-6</v>
      </c>
      <c r="J420" s="78"/>
      <c r="K420" s="78"/>
      <c r="L420" s="78">
        <v>4.4532217481053604E-6</v>
      </c>
      <c r="M420" s="78"/>
      <c r="N420" s="78">
        <v>0</v>
      </c>
      <c r="O420" s="78">
        <v>0</v>
      </c>
      <c r="P420" s="78">
        <v>0</v>
      </c>
      <c r="Q420" s="78">
        <v>0</v>
      </c>
    </row>
    <row r="421" spans="1:17" x14ac:dyDescent="0.2">
      <c r="A421" s="32">
        <v>7</v>
      </c>
      <c r="B421" s="32" t="s">
        <v>1217</v>
      </c>
      <c r="C421" s="32" t="s">
        <v>1218</v>
      </c>
      <c r="D421" s="78">
        <v>1</v>
      </c>
      <c r="E421" s="82"/>
      <c r="F421" s="78">
        <v>0.99680626274351791</v>
      </c>
      <c r="G421" s="82"/>
      <c r="H421" s="78">
        <v>0</v>
      </c>
      <c r="I421" s="78">
        <v>3.1937372564821327E-3</v>
      </c>
      <c r="J421" s="78"/>
      <c r="K421" s="78"/>
      <c r="L421" s="78">
        <v>0</v>
      </c>
      <c r="M421" s="78"/>
      <c r="N421" s="78">
        <v>3.1937372564821327E-3</v>
      </c>
      <c r="O421" s="78">
        <v>2.7445099805456542E-3</v>
      </c>
      <c r="P421" s="78">
        <v>4.492272759364787E-4</v>
      </c>
      <c r="Q421" s="78">
        <v>0</v>
      </c>
    </row>
    <row r="422" spans="1:17" x14ac:dyDescent="0.2">
      <c r="A422" s="32">
        <v>8</v>
      </c>
      <c r="B422" s="32" t="s">
        <v>30</v>
      </c>
      <c r="C422" s="32" t="s">
        <v>31</v>
      </c>
      <c r="D422" s="78">
        <v>1</v>
      </c>
      <c r="E422" s="82"/>
      <c r="F422" s="78">
        <v>0</v>
      </c>
      <c r="G422" s="82"/>
      <c r="H422" s="78">
        <v>1</v>
      </c>
      <c r="I422" s="78">
        <v>0</v>
      </c>
      <c r="J422" s="78"/>
      <c r="K422" s="78"/>
      <c r="L422" s="78">
        <v>0</v>
      </c>
      <c r="M422" s="78"/>
      <c r="N422" s="78">
        <v>0</v>
      </c>
      <c r="O422" s="78">
        <v>0</v>
      </c>
      <c r="P422" s="78">
        <v>0</v>
      </c>
      <c r="Q422" s="78">
        <v>0</v>
      </c>
    </row>
    <row r="423" spans="1:17" x14ac:dyDescent="0.2">
      <c r="A423" s="32">
        <v>9</v>
      </c>
      <c r="B423" s="32" t="s">
        <v>32</v>
      </c>
      <c r="C423" s="32" t="s">
        <v>33</v>
      </c>
      <c r="D423" s="78">
        <v>1</v>
      </c>
      <c r="E423" s="82"/>
      <c r="F423" s="78">
        <v>0</v>
      </c>
      <c r="G423" s="82"/>
      <c r="H423" s="78">
        <v>0</v>
      </c>
      <c r="I423" s="78">
        <v>1</v>
      </c>
      <c r="J423" s="78"/>
      <c r="K423" s="78"/>
      <c r="L423" s="78">
        <v>1</v>
      </c>
      <c r="M423" s="78"/>
      <c r="N423" s="78">
        <v>0</v>
      </c>
      <c r="O423" s="78">
        <v>0</v>
      </c>
      <c r="P423" s="78">
        <v>0</v>
      </c>
      <c r="Q423" s="78">
        <v>0</v>
      </c>
    </row>
    <row r="424" spans="1:17" x14ac:dyDescent="0.2">
      <c r="A424" s="32">
        <v>10</v>
      </c>
      <c r="B424" s="32" t="s">
        <v>34</v>
      </c>
      <c r="C424" s="32" t="s">
        <v>35</v>
      </c>
      <c r="D424" s="78">
        <v>1.0000000000000002</v>
      </c>
      <c r="E424" s="82"/>
      <c r="F424" s="78">
        <v>0.87436089994515798</v>
      </c>
      <c r="G424" s="82"/>
      <c r="H424" s="78">
        <v>5.5472508296751287E-2</v>
      </c>
      <c r="I424" s="78">
        <v>7.0166591758090868E-2</v>
      </c>
      <c r="J424" s="78"/>
      <c r="K424" s="78"/>
      <c r="L424" s="78">
        <v>1.1756165794183441E-5</v>
      </c>
      <c r="M424" s="78"/>
      <c r="N424" s="78">
        <v>7.0154835592296683E-2</v>
      </c>
      <c r="O424" s="78">
        <v>2.2263298173175169E-2</v>
      </c>
      <c r="P424" s="78">
        <v>4.7891537419121506E-2</v>
      </c>
      <c r="Q424" s="78">
        <v>1.3117690609033841E-21</v>
      </c>
    </row>
    <row r="425" spans="1:17" x14ac:dyDescent="0.2">
      <c r="A425" s="32">
        <v>11</v>
      </c>
      <c r="B425" s="32" t="s">
        <v>36</v>
      </c>
      <c r="C425" s="32" t="s">
        <v>37</v>
      </c>
      <c r="D425" s="78">
        <v>1.0000000000000002</v>
      </c>
      <c r="E425" s="82"/>
      <c r="F425" s="78">
        <v>0.87531930318181805</v>
      </c>
      <c r="G425" s="82"/>
      <c r="H425" s="78">
        <v>5.3386422444324996E-2</v>
      </c>
      <c r="I425" s="78">
        <v>7.1294274373857075E-2</v>
      </c>
      <c r="J425" s="78"/>
      <c r="K425" s="78"/>
      <c r="L425" s="78">
        <v>9.3304560818509226E-6</v>
      </c>
      <c r="M425" s="78"/>
      <c r="N425" s="78">
        <v>7.128494391777522E-2</v>
      </c>
      <c r="O425" s="78">
        <v>2.2640132954091462E-2</v>
      </c>
      <c r="P425" s="78">
        <v>4.8644810963683754E-2</v>
      </c>
      <c r="Q425" s="78">
        <v>1.5654888945185524E-21</v>
      </c>
    </row>
    <row r="426" spans="1:17" x14ac:dyDescent="0.2">
      <c r="A426" s="32">
        <v>12</v>
      </c>
      <c r="B426" s="32" t="s">
        <v>38</v>
      </c>
      <c r="C426" s="32" t="s">
        <v>649</v>
      </c>
      <c r="D426" s="78">
        <v>1</v>
      </c>
      <c r="E426" s="82"/>
      <c r="F426" s="78">
        <v>0</v>
      </c>
      <c r="G426" s="82"/>
      <c r="H426" s="78">
        <v>0</v>
      </c>
      <c r="I426" s="78">
        <v>1</v>
      </c>
      <c r="J426" s="78"/>
      <c r="K426" s="78"/>
      <c r="L426" s="78">
        <v>0</v>
      </c>
      <c r="M426" s="78"/>
      <c r="N426" s="78">
        <v>1</v>
      </c>
      <c r="O426" s="78">
        <v>0.312025372271452</v>
      </c>
      <c r="P426" s="78">
        <v>0.68797462772854812</v>
      </c>
      <c r="Q426" s="78">
        <v>0</v>
      </c>
    </row>
    <row r="427" spans="1:17" x14ac:dyDescent="0.2">
      <c r="A427" s="32">
        <v>13</v>
      </c>
      <c r="B427" s="32" t="s">
        <v>1873</v>
      </c>
      <c r="C427" s="32" t="s">
        <v>40</v>
      </c>
      <c r="D427" s="78">
        <v>1</v>
      </c>
      <c r="E427" s="82"/>
      <c r="F427" s="78">
        <v>0.8786138824468086</v>
      </c>
      <c r="G427" s="82"/>
      <c r="H427" s="78">
        <v>5.5732172393129359E-2</v>
      </c>
      <c r="I427" s="78">
        <v>6.5653945160062135E-2</v>
      </c>
      <c r="J427" s="78"/>
      <c r="K427" s="78"/>
      <c r="L427" s="78">
        <v>3.1002407141825237E-5</v>
      </c>
      <c r="M427" s="78"/>
      <c r="N427" s="78">
        <v>6.5622942752920313E-2</v>
      </c>
      <c r="O427" s="78">
        <v>2.0849613160379313E-2</v>
      </c>
      <c r="P427" s="78">
        <v>4.4773329592540996E-2</v>
      </c>
      <c r="Q427" s="78">
        <v>1.3122128788664074E-21</v>
      </c>
    </row>
    <row r="428" spans="1:17" x14ac:dyDescent="0.2">
      <c r="A428" s="32">
        <v>14</v>
      </c>
      <c r="B428" s="32" t="s">
        <v>41</v>
      </c>
      <c r="C428" s="32" t="s">
        <v>2470</v>
      </c>
      <c r="D428" s="78">
        <v>1</v>
      </c>
      <c r="E428" s="82"/>
      <c r="F428" s="78">
        <v>0.86650091469570611</v>
      </c>
      <c r="G428" s="82"/>
      <c r="H428" s="78">
        <v>4.6446628333381326E-2</v>
      </c>
      <c r="I428" s="78">
        <v>8.7052456970912601E-2</v>
      </c>
      <c r="J428" s="78"/>
      <c r="K428" s="78"/>
      <c r="L428" s="78">
        <v>5.029216760231566E-6</v>
      </c>
      <c r="M428" s="78"/>
      <c r="N428" s="78">
        <v>8.7047427754152362E-2</v>
      </c>
      <c r="O428" s="78">
        <v>2.8293308034901252E-2</v>
      </c>
      <c r="P428" s="78">
        <v>5.8754119719251104E-2</v>
      </c>
      <c r="Q428" s="78">
        <v>0</v>
      </c>
    </row>
    <row r="429" spans="1:17" x14ac:dyDescent="0.2">
      <c r="A429" s="32">
        <v>15</v>
      </c>
      <c r="B429" s="32" t="s">
        <v>42</v>
      </c>
      <c r="C429" s="32" t="s">
        <v>2471</v>
      </c>
      <c r="D429" s="78">
        <v>1</v>
      </c>
      <c r="E429" s="82"/>
      <c r="F429" s="78">
        <v>0.86137423025733473</v>
      </c>
      <c r="G429" s="82"/>
      <c r="H429" s="78">
        <v>4.6447034184633341E-2</v>
      </c>
      <c r="I429" s="78">
        <v>9.2178735558031979E-2</v>
      </c>
      <c r="J429" s="78"/>
      <c r="K429" s="78"/>
      <c r="L429" s="78">
        <v>5.1154712194332441E-6</v>
      </c>
      <c r="M429" s="78"/>
      <c r="N429" s="78">
        <v>9.2173620086812541E-2</v>
      </c>
      <c r="O429" s="78">
        <v>2.991170415136964E-2</v>
      </c>
      <c r="P429" s="78">
        <v>6.2261915935442905E-2</v>
      </c>
      <c r="Q429" s="78">
        <v>0</v>
      </c>
    </row>
    <row r="430" spans="1:17" x14ac:dyDescent="0.2">
      <c r="A430" s="32">
        <v>16</v>
      </c>
      <c r="B430" s="32" t="s">
        <v>43</v>
      </c>
      <c r="C430" s="32" t="s">
        <v>2472</v>
      </c>
      <c r="D430" s="78">
        <v>1</v>
      </c>
      <c r="E430" s="82"/>
      <c r="F430" s="78">
        <v>0.86368474428104458</v>
      </c>
      <c r="G430" s="82"/>
      <c r="H430" s="78">
        <v>5.0732417001093058E-2</v>
      </c>
      <c r="I430" s="78">
        <v>8.5582838717862389E-2</v>
      </c>
      <c r="J430" s="78"/>
      <c r="K430" s="78"/>
      <c r="L430" s="78">
        <v>7.6365012360696357E-6</v>
      </c>
      <c r="M430" s="78"/>
      <c r="N430" s="78">
        <v>8.5575202216626317E-2</v>
      </c>
      <c r="O430" s="78">
        <v>2.6701634328847604E-2</v>
      </c>
      <c r="P430" s="78">
        <v>5.8873567887778706E-2</v>
      </c>
      <c r="Q430" s="78">
        <v>0</v>
      </c>
    </row>
    <row r="431" spans="1:17" x14ac:dyDescent="0.2">
      <c r="A431" s="32">
        <v>17</v>
      </c>
      <c r="B431" s="32" t="s">
        <v>44</v>
      </c>
      <c r="C431" s="32" t="s">
        <v>2473</v>
      </c>
      <c r="D431" s="78">
        <v>1</v>
      </c>
      <c r="E431" s="82"/>
      <c r="F431" s="78">
        <v>0.86483310808290059</v>
      </c>
      <c r="G431" s="82"/>
      <c r="H431" s="78">
        <v>4.9294687744991753E-2</v>
      </c>
      <c r="I431" s="78">
        <v>8.5872204172107572E-2</v>
      </c>
      <c r="J431" s="78"/>
      <c r="K431" s="78"/>
      <c r="L431" s="78">
        <v>6.7883081595753356E-6</v>
      </c>
      <c r="M431" s="78"/>
      <c r="N431" s="78">
        <v>8.5865415863947997E-2</v>
      </c>
      <c r="O431" s="78">
        <v>2.7161428289086749E-2</v>
      </c>
      <c r="P431" s="78">
        <v>5.8703987574861255E-2</v>
      </c>
      <c r="Q431" s="78">
        <v>0</v>
      </c>
    </row>
    <row r="432" spans="1:17" x14ac:dyDescent="0.2">
      <c r="A432" s="32">
        <v>18</v>
      </c>
      <c r="B432" s="32" t="s">
        <v>45</v>
      </c>
      <c r="C432" s="32" t="s">
        <v>2474</v>
      </c>
      <c r="D432" s="33">
        <v>1</v>
      </c>
      <c r="F432" s="33">
        <v>0.86751393086941209</v>
      </c>
      <c r="H432" s="33">
        <v>4.5918106094815017E-2</v>
      </c>
      <c r="I432" s="33">
        <v>8.6567963035772827E-2</v>
      </c>
      <c r="L432" s="33">
        <v>4.7967329463820627E-6</v>
      </c>
      <c r="N432" s="33">
        <v>8.6563166302826441E-2</v>
      </c>
      <c r="O432" s="33">
        <v>2.8246068103915035E-2</v>
      </c>
      <c r="P432" s="33">
        <v>5.8317098198911406E-2</v>
      </c>
      <c r="Q432" s="33">
        <v>0</v>
      </c>
    </row>
    <row r="433" spans="1:17" x14ac:dyDescent="0.2">
      <c r="A433" s="32">
        <v>19</v>
      </c>
      <c r="B433" s="32" t="s">
        <v>46</v>
      </c>
      <c r="C433" s="32" t="s">
        <v>2475</v>
      </c>
      <c r="D433" s="33">
        <v>1.0000000000000002</v>
      </c>
      <c r="F433" s="33">
        <v>0.86209606691412732</v>
      </c>
      <c r="H433" s="33">
        <v>5.0629763313373821E-2</v>
      </c>
      <c r="I433" s="33">
        <v>8.7274169772498925E-2</v>
      </c>
      <c r="L433" s="33">
        <v>7.6224545173374676E-6</v>
      </c>
      <c r="N433" s="33">
        <v>8.7266547317981585E-2</v>
      </c>
      <c r="O433" s="33">
        <v>2.7229376913737481E-2</v>
      </c>
      <c r="P433" s="33">
        <v>6.0037170404244097E-2</v>
      </c>
      <c r="Q433" s="33">
        <v>0</v>
      </c>
    </row>
    <row r="434" spans="1:17" x14ac:dyDescent="0.2">
      <c r="A434" s="32">
        <v>20</v>
      </c>
      <c r="B434" s="32" t="s">
        <v>1874</v>
      </c>
      <c r="C434" s="32" t="s">
        <v>48</v>
      </c>
      <c r="D434" s="33">
        <v>0</v>
      </c>
      <c r="F434" s="33">
        <v>0</v>
      </c>
      <c r="H434" s="33">
        <v>0</v>
      </c>
      <c r="I434" s="33">
        <v>0</v>
      </c>
      <c r="L434" s="33">
        <v>0</v>
      </c>
      <c r="N434" s="33">
        <v>0</v>
      </c>
      <c r="O434" s="33">
        <v>0</v>
      </c>
      <c r="P434" s="33">
        <v>0</v>
      </c>
      <c r="Q434" s="33">
        <v>0</v>
      </c>
    </row>
    <row r="435" spans="1:17" x14ac:dyDescent="0.2">
      <c r="A435" s="32">
        <v>21</v>
      </c>
      <c r="B435" s="32" t="s">
        <v>1875</v>
      </c>
      <c r="C435" s="32" t="s">
        <v>50</v>
      </c>
      <c r="D435" s="33">
        <v>0</v>
      </c>
      <c r="F435" s="33">
        <v>0</v>
      </c>
      <c r="H435" s="33">
        <v>0</v>
      </c>
      <c r="I435" s="33">
        <v>0</v>
      </c>
      <c r="L435" s="33">
        <v>0</v>
      </c>
      <c r="N435" s="33">
        <v>0</v>
      </c>
      <c r="O435" s="33">
        <v>0</v>
      </c>
      <c r="P435" s="33">
        <v>0</v>
      </c>
      <c r="Q435" s="33">
        <v>0</v>
      </c>
    </row>
    <row r="436" spans="1:17" x14ac:dyDescent="0.2">
      <c r="A436" s="32">
        <v>22</v>
      </c>
      <c r="B436" s="32" t="s">
        <v>1876</v>
      </c>
      <c r="C436" s="32" t="s">
        <v>52</v>
      </c>
      <c r="D436" s="33">
        <v>0</v>
      </c>
      <c r="F436" s="33">
        <v>0</v>
      </c>
      <c r="H436" s="33">
        <v>0</v>
      </c>
      <c r="I436" s="33">
        <v>0</v>
      </c>
      <c r="L436" s="33">
        <v>0</v>
      </c>
      <c r="N436" s="33">
        <v>0</v>
      </c>
      <c r="O436" s="33">
        <v>0</v>
      </c>
      <c r="P436" s="33">
        <v>0</v>
      </c>
      <c r="Q436" s="33">
        <v>0</v>
      </c>
    </row>
    <row r="437" spans="1:17" x14ac:dyDescent="0.2">
      <c r="A437" s="32">
        <v>23</v>
      </c>
      <c r="B437" s="32" t="s">
        <v>1877</v>
      </c>
      <c r="C437" s="32" t="s">
        <v>54</v>
      </c>
      <c r="D437" s="33">
        <v>0</v>
      </c>
      <c r="F437" s="33">
        <v>0</v>
      </c>
      <c r="H437" s="33">
        <v>0</v>
      </c>
      <c r="I437" s="33">
        <v>0</v>
      </c>
      <c r="L437" s="33">
        <v>0</v>
      </c>
      <c r="N437" s="33">
        <v>0</v>
      </c>
      <c r="O437" s="33">
        <v>0</v>
      </c>
      <c r="P437" s="33">
        <v>0</v>
      </c>
      <c r="Q437" s="33">
        <v>0</v>
      </c>
    </row>
    <row r="438" spans="1:17" x14ac:dyDescent="0.2">
      <c r="A438" s="32">
        <v>24</v>
      </c>
      <c r="B438" s="32" t="s">
        <v>1878</v>
      </c>
      <c r="C438" s="32" t="s">
        <v>56</v>
      </c>
      <c r="D438" s="33">
        <v>0</v>
      </c>
      <c r="F438" s="33">
        <v>0</v>
      </c>
      <c r="H438" s="33">
        <v>0</v>
      </c>
      <c r="I438" s="33">
        <v>0</v>
      </c>
      <c r="L438" s="33">
        <v>0</v>
      </c>
      <c r="N438" s="33">
        <v>0</v>
      </c>
      <c r="O438" s="33">
        <v>0</v>
      </c>
      <c r="P438" s="33">
        <v>0</v>
      </c>
      <c r="Q438" s="33">
        <v>0</v>
      </c>
    </row>
    <row r="439" spans="1:17" x14ac:dyDescent="0.2">
      <c r="A439" s="32">
        <v>25</v>
      </c>
      <c r="B439" s="32" t="s">
        <v>1879</v>
      </c>
      <c r="C439" s="32" t="s">
        <v>641</v>
      </c>
      <c r="D439" s="33">
        <v>0</v>
      </c>
      <c r="F439" s="33">
        <v>0</v>
      </c>
      <c r="H439" s="33">
        <v>0</v>
      </c>
      <c r="I439" s="33">
        <v>0</v>
      </c>
      <c r="L439" s="33">
        <v>0</v>
      </c>
      <c r="N439" s="33">
        <v>0</v>
      </c>
      <c r="O439" s="33">
        <v>0</v>
      </c>
      <c r="P439" s="33">
        <v>0</v>
      </c>
      <c r="Q439" s="33">
        <v>0</v>
      </c>
    </row>
    <row r="440" spans="1:17" x14ac:dyDescent="0.2">
      <c r="A440" s="32">
        <v>26</v>
      </c>
      <c r="B440" s="32" t="s">
        <v>642</v>
      </c>
      <c r="C440" s="32" t="s">
        <v>2476</v>
      </c>
      <c r="D440" s="33">
        <v>1</v>
      </c>
      <c r="F440" s="33">
        <v>0.8065742256281383</v>
      </c>
      <c r="H440" s="33">
        <v>0.11247818618537095</v>
      </c>
      <c r="I440" s="33">
        <v>8.0947588186490754E-2</v>
      </c>
      <c r="L440" s="33">
        <v>6.9475160385340169E-6</v>
      </c>
      <c r="N440" s="33">
        <v>8.0940640670452216E-2</v>
      </c>
      <c r="O440" s="33">
        <v>2.5255533537087677E-2</v>
      </c>
      <c r="P440" s="33">
        <v>5.5685107133364539E-2</v>
      </c>
      <c r="Q440" s="33">
        <v>0</v>
      </c>
    </row>
    <row r="441" spans="1:17" x14ac:dyDescent="0.2">
      <c r="A441" s="32">
        <v>27</v>
      </c>
      <c r="B441" s="32" t="s">
        <v>643</v>
      </c>
      <c r="C441" s="32" t="s">
        <v>2477</v>
      </c>
      <c r="D441" s="33">
        <v>1</v>
      </c>
      <c r="F441" s="33">
        <v>0.80453094923015556</v>
      </c>
      <c r="H441" s="33">
        <v>0.11366636301375287</v>
      </c>
      <c r="I441" s="33">
        <v>8.1802687756091549E-2</v>
      </c>
      <c r="L441" s="33">
        <v>7.0209069586026716E-6</v>
      </c>
      <c r="N441" s="33">
        <v>8.1795666849132947E-2</v>
      </c>
      <c r="O441" s="33">
        <v>2.5522323398792374E-2</v>
      </c>
      <c r="P441" s="33">
        <v>5.6273343450340581E-2</v>
      </c>
      <c r="Q441" s="33">
        <v>0</v>
      </c>
    </row>
    <row r="442" spans="1:17" x14ac:dyDescent="0.2">
      <c r="A442" s="32">
        <v>28</v>
      </c>
      <c r="B442" s="32" t="s">
        <v>644</v>
      </c>
      <c r="C442" s="32" t="s">
        <v>645</v>
      </c>
      <c r="D442" s="33">
        <v>1</v>
      </c>
      <c r="F442" s="33">
        <v>0.80246280753473243</v>
      </c>
      <c r="H442" s="33">
        <v>0.11486899915379656</v>
      </c>
      <c r="I442" s="33">
        <v>8.266819331147103E-2</v>
      </c>
      <c r="L442" s="33">
        <v>7.0951909967334427E-6</v>
      </c>
      <c r="N442" s="33">
        <v>8.2661098120474299E-2</v>
      </c>
      <c r="O442" s="33">
        <v>2.5792359913408013E-2</v>
      </c>
      <c r="P442" s="33">
        <v>5.6868738207066283E-2</v>
      </c>
      <c r="Q442" s="33">
        <v>0</v>
      </c>
    </row>
    <row r="443" spans="1:17" x14ac:dyDescent="0.2">
      <c r="A443" s="32">
        <v>29</v>
      </c>
      <c r="B443" s="32" t="s">
        <v>646</v>
      </c>
      <c r="C443" s="32" t="s">
        <v>647</v>
      </c>
      <c r="D443" s="33">
        <v>0</v>
      </c>
      <c r="F443" s="33">
        <v>0</v>
      </c>
      <c r="H443" s="33">
        <v>0</v>
      </c>
      <c r="I443" s="33">
        <v>0</v>
      </c>
      <c r="L443" s="33">
        <v>0</v>
      </c>
      <c r="N443" s="33">
        <v>0</v>
      </c>
      <c r="O443" s="33">
        <v>0</v>
      </c>
      <c r="P443" s="33">
        <v>0</v>
      </c>
      <c r="Q443" s="33">
        <v>0</v>
      </c>
    </row>
    <row r="444" spans="1:17" x14ac:dyDescent="0.2">
      <c r="A444" s="32">
        <v>30</v>
      </c>
      <c r="B444" s="32" t="s">
        <v>648</v>
      </c>
      <c r="C444" s="32" t="s">
        <v>2478</v>
      </c>
      <c r="D444" s="33">
        <v>0.99999999999999989</v>
      </c>
      <c r="F444" s="33">
        <v>0.93840847389480264</v>
      </c>
      <c r="H444" s="33">
        <v>5.6899776237475712E-2</v>
      </c>
      <c r="I444" s="33">
        <v>4.6917498677216118E-3</v>
      </c>
      <c r="L444" s="33">
        <v>9.8074082923509269E-5</v>
      </c>
      <c r="N444" s="33">
        <v>4.5936757847981026E-3</v>
      </c>
      <c r="O444" s="33">
        <v>2.9730423317378902E-3</v>
      </c>
      <c r="P444" s="33">
        <v>1.6206334530602124E-3</v>
      </c>
      <c r="Q444" s="33">
        <v>0</v>
      </c>
    </row>
    <row r="445" spans="1:17" x14ac:dyDescent="0.2">
      <c r="A445" s="32">
        <v>31</v>
      </c>
      <c r="B445" s="32" t="s">
        <v>661</v>
      </c>
      <c r="C445" s="32" t="s">
        <v>2479</v>
      </c>
      <c r="D445" s="33">
        <v>1</v>
      </c>
      <c r="F445" s="33">
        <v>0.92520057867888672</v>
      </c>
      <c r="H445" s="33">
        <v>7.4185601612482235E-2</v>
      </c>
      <c r="I445" s="33">
        <v>6.1381970863107812E-4</v>
      </c>
      <c r="L445" s="33">
        <v>1.3413613826381354E-4</v>
      </c>
      <c r="N445" s="33">
        <v>4.7968357036726455E-4</v>
      </c>
      <c r="O445" s="33">
        <v>4.7071350123928179E-4</v>
      </c>
      <c r="P445" s="33">
        <v>8.9700691279827507E-6</v>
      </c>
      <c r="Q445" s="33">
        <v>0</v>
      </c>
    </row>
    <row r="446" spans="1:17" x14ac:dyDescent="0.2">
      <c r="A446" s="32">
        <v>32</v>
      </c>
      <c r="B446" s="32" t="s">
        <v>662</v>
      </c>
      <c r="C446" s="32" t="s">
        <v>663</v>
      </c>
      <c r="D446" s="33">
        <v>0.99999999999999978</v>
      </c>
      <c r="F446" s="33">
        <v>0.94084668465142973</v>
      </c>
      <c r="H446" s="33">
        <v>5.6025851478961691E-2</v>
      </c>
      <c r="I446" s="33">
        <v>3.1274638696084079E-3</v>
      </c>
      <c r="L446" s="33">
        <v>1.1301941664240644E-4</v>
      </c>
      <c r="N446" s="33">
        <v>3.0144444529660013E-3</v>
      </c>
      <c r="O446" s="33">
        <v>2.5904362890761044E-3</v>
      </c>
      <c r="P446" s="33">
        <v>4.2400816388989669E-4</v>
      </c>
      <c r="Q446" s="33">
        <v>0</v>
      </c>
    </row>
    <row r="447" spans="1:17" x14ac:dyDescent="0.2">
      <c r="A447" s="32">
        <v>33</v>
      </c>
      <c r="B447" s="32" t="s">
        <v>664</v>
      </c>
      <c r="C447" s="32" t="s">
        <v>665</v>
      </c>
      <c r="D447" s="33">
        <v>0</v>
      </c>
      <c r="F447" s="33">
        <v>0</v>
      </c>
      <c r="H447" s="33">
        <v>0</v>
      </c>
      <c r="I447" s="33">
        <v>0</v>
      </c>
      <c r="L447" s="33">
        <v>0</v>
      </c>
      <c r="N447" s="33">
        <v>0</v>
      </c>
      <c r="O447" s="33">
        <v>0</v>
      </c>
      <c r="P447" s="33">
        <v>0</v>
      </c>
      <c r="Q447" s="33">
        <v>0</v>
      </c>
    </row>
    <row r="448" spans="1:17" x14ac:dyDescent="0.2">
      <c r="A448" s="32">
        <v>34</v>
      </c>
      <c r="B448" s="32" t="s">
        <v>666</v>
      </c>
      <c r="C448" s="32" t="s">
        <v>2480</v>
      </c>
      <c r="D448" s="33">
        <v>1</v>
      </c>
      <c r="F448" s="33">
        <v>0.94610805683145516</v>
      </c>
      <c r="H448" s="33">
        <v>5.2647634542542648E-2</v>
      </c>
      <c r="I448" s="33">
        <v>1.2443086260023042E-3</v>
      </c>
      <c r="L448" s="33">
        <v>9.3657638516302455E-6</v>
      </c>
      <c r="N448" s="33">
        <v>1.2349428621506739E-3</v>
      </c>
      <c r="O448" s="33">
        <v>6.6095533467219172E-4</v>
      </c>
      <c r="P448" s="33">
        <v>5.739875274784822E-4</v>
      </c>
      <c r="Q448" s="33">
        <v>0</v>
      </c>
    </row>
    <row r="449" spans="1:17" x14ac:dyDescent="0.2">
      <c r="A449" s="32">
        <v>35</v>
      </c>
      <c r="B449" s="32" t="s">
        <v>668</v>
      </c>
      <c r="C449" s="32" t="s">
        <v>669</v>
      </c>
      <c r="D449" s="33">
        <v>1</v>
      </c>
      <c r="F449" s="33">
        <v>0.94610805683145505</v>
      </c>
      <c r="H449" s="33">
        <v>5.2647634542542648E-2</v>
      </c>
      <c r="I449" s="33">
        <v>1.2443086260023042E-3</v>
      </c>
      <c r="L449" s="33">
        <v>9.3657638516302455E-6</v>
      </c>
      <c r="N449" s="33">
        <v>1.2349428621506739E-3</v>
      </c>
      <c r="O449" s="33">
        <v>6.6095533467219172E-4</v>
      </c>
      <c r="P449" s="33">
        <v>5.739875274784822E-4</v>
      </c>
      <c r="Q449" s="33">
        <v>0</v>
      </c>
    </row>
    <row r="450" spans="1:17" x14ac:dyDescent="0.2">
      <c r="A450" s="32">
        <v>36</v>
      </c>
      <c r="B450" s="32" t="s">
        <v>1880</v>
      </c>
      <c r="C450" s="32" t="s">
        <v>2481</v>
      </c>
      <c r="D450" s="33">
        <v>0.99999999999999989</v>
      </c>
      <c r="F450" s="33">
        <v>0.99929613448218801</v>
      </c>
      <c r="H450" s="33">
        <v>7.0376897554701558E-4</v>
      </c>
      <c r="I450" s="33">
        <v>9.6542264898935563E-8</v>
      </c>
      <c r="L450" s="33">
        <v>9.6542264898935563E-8</v>
      </c>
      <c r="N450" s="33">
        <v>0</v>
      </c>
      <c r="O450" s="33">
        <v>0</v>
      </c>
      <c r="P450" s="33">
        <v>0</v>
      </c>
      <c r="Q450" s="33">
        <v>0</v>
      </c>
    </row>
    <row r="451" spans="1:17" x14ac:dyDescent="0.2">
      <c r="A451" s="32">
        <v>37</v>
      </c>
      <c r="B451" s="32" t="s">
        <v>672</v>
      </c>
      <c r="C451" s="32" t="s">
        <v>673</v>
      </c>
      <c r="D451" s="33">
        <v>1</v>
      </c>
      <c r="F451" s="33">
        <v>0.94610805683145505</v>
      </c>
      <c r="H451" s="33">
        <v>5.2647634542542648E-2</v>
      </c>
      <c r="I451" s="33">
        <v>1.2443086260023042E-3</v>
      </c>
      <c r="L451" s="33">
        <v>9.3657638516302455E-6</v>
      </c>
      <c r="N451" s="33">
        <v>1.2349428621506739E-3</v>
      </c>
      <c r="O451" s="33">
        <v>6.6095533467219172E-4</v>
      </c>
      <c r="P451" s="33">
        <v>5.739875274784822E-4</v>
      </c>
      <c r="Q451" s="33">
        <v>0</v>
      </c>
    </row>
    <row r="452" spans="1:17" x14ac:dyDescent="0.2">
      <c r="A452" s="32">
        <v>38</v>
      </c>
      <c r="B452" s="32" t="s">
        <v>674</v>
      </c>
      <c r="C452" s="32" t="s">
        <v>2482</v>
      </c>
      <c r="D452" s="33">
        <v>0.99999999999999989</v>
      </c>
      <c r="F452" s="33">
        <v>0.94596923008515077</v>
      </c>
      <c r="H452" s="33">
        <v>5.4023359049037684E-2</v>
      </c>
      <c r="I452" s="33">
        <v>7.4108658114527512E-6</v>
      </c>
      <c r="L452" s="33">
        <v>7.4108658114527512E-6</v>
      </c>
      <c r="N452" s="33">
        <v>0</v>
      </c>
      <c r="O452" s="33">
        <v>0</v>
      </c>
      <c r="P452" s="33">
        <v>0</v>
      </c>
      <c r="Q452" s="33">
        <v>0</v>
      </c>
    </row>
    <row r="453" spans="1:17" x14ac:dyDescent="0.2">
      <c r="A453" s="32">
        <v>39</v>
      </c>
      <c r="B453" s="32" t="s">
        <v>675</v>
      </c>
      <c r="C453" s="32" t="s">
        <v>676</v>
      </c>
      <c r="D453" s="33">
        <v>1</v>
      </c>
      <c r="F453" s="33">
        <v>0.99929613448218813</v>
      </c>
      <c r="H453" s="33">
        <v>7.0376897554701558E-4</v>
      </c>
      <c r="I453" s="33">
        <v>9.6542264898935563E-8</v>
      </c>
      <c r="L453" s="33">
        <v>9.6542264898935563E-8</v>
      </c>
      <c r="N453" s="33">
        <v>0</v>
      </c>
      <c r="O453" s="33">
        <v>0</v>
      </c>
      <c r="P453" s="33">
        <v>0</v>
      </c>
      <c r="Q453" s="33">
        <v>0</v>
      </c>
    </row>
    <row r="454" spans="1:17" x14ac:dyDescent="0.2">
      <c r="A454" s="32">
        <v>40</v>
      </c>
      <c r="B454" s="32" t="s">
        <v>677</v>
      </c>
      <c r="C454" s="32" t="s">
        <v>678</v>
      </c>
      <c r="D454" s="33">
        <v>1</v>
      </c>
      <c r="F454" s="33">
        <v>0.89775834708469027</v>
      </c>
      <c r="H454" s="33">
        <v>5.6725086364232888E-2</v>
      </c>
      <c r="I454" s="33">
        <v>4.5516566551076797E-2</v>
      </c>
      <c r="L454" s="33">
        <v>3.0089481883477772E-5</v>
      </c>
      <c r="N454" s="33">
        <v>4.5486477069193322E-2</v>
      </c>
      <c r="O454" s="33">
        <v>1.4756115427042211E-2</v>
      </c>
      <c r="P454" s="33">
        <v>3.0730361642151111E-2</v>
      </c>
      <c r="Q454" s="33">
        <v>4.7206853474656552E-20</v>
      </c>
    </row>
    <row r="455" spans="1:17" x14ac:dyDescent="0.2">
      <c r="F455" s="33"/>
    </row>
    <row r="456" spans="1:17" x14ac:dyDescent="0.2">
      <c r="B456" s="32" t="s">
        <v>1139</v>
      </c>
      <c r="F456" s="33"/>
    </row>
    <row r="457" spans="1:17" x14ac:dyDescent="0.2">
      <c r="B457" s="32" t="s">
        <v>1670</v>
      </c>
      <c r="F457" s="33"/>
    </row>
    <row r="458" spans="1:17" x14ac:dyDescent="0.2">
      <c r="A458" s="32">
        <v>1</v>
      </c>
      <c r="B458" s="32" t="s">
        <v>679</v>
      </c>
      <c r="C458" s="32" t="s">
        <v>680</v>
      </c>
      <c r="D458" s="33">
        <v>1</v>
      </c>
      <c r="F458" s="33">
        <v>0.94977596455376279</v>
      </c>
      <c r="H458" s="33">
        <v>5.0218814415418159E-2</v>
      </c>
      <c r="I458" s="33">
        <v>5.2210308190352702E-6</v>
      </c>
      <c r="L458" s="33">
        <v>5.2210308190352702E-6</v>
      </c>
      <c r="N458" s="33">
        <v>0</v>
      </c>
      <c r="O458" s="33">
        <v>0</v>
      </c>
      <c r="P458" s="33">
        <v>0</v>
      </c>
      <c r="Q458" s="33">
        <v>0</v>
      </c>
    </row>
    <row r="459" spans="1:17" x14ac:dyDescent="0.2">
      <c r="A459" s="32">
        <v>2</v>
      </c>
      <c r="B459" s="32" t="s">
        <v>681</v>
      </c>
      <c r="C459" s="32" t="s">
        <v>682</v>
      </c>
      <c r="D459" s="33">
        <v>1</v>
      </c>
      <c r="F459" s="33">
        <v>0.99938461352026797</v>
      </c>
      <c r="H459" s="33">
        <v>6.1530207326083411E-4</v>
      </c>
      <c r="I459" s="33">
        <v>8.4406471176766574E-8</v>
      </c>
      <c r="L459" s="33">
        <v>8.4406471176766574E-8</v>
      </c>
      <c r="N459" s="33">
        <v>0</v>
      </c>
      <c r="O459" s="33">
        <v>0</v>
      </c>
      <c r="P459" s="33">
        <v>0</v>
      </c>
      <c r="Q459" s="33">
        <v>0</v>
      </c>
    </row>
    <row r="460" spans="1:17" x14ac:dyDescent="0.2">
      <c r="A460" s="32">
        <v>3</v>
      </c>
      <c r="B460" s="32" t="s">
        <v>1230</v>
      </c>
      <c r="C460" s="32" t="s">
        <v>1231</v>
      </c>
      <c r="D460" s="33">
        <v>1</v>
      </c>
      <c r="F460" s="33">
        <v>0.99668691788381247</v>
      </c>
      <c r="H460" s="33">
        <v>0</v>
      </c>
      <c r="I460" s="33">
        <v>3.3130821161875346E-3</v>
      </c>
      <c r="L460" s="33">
        <v>1.1972723704296189E-4</v>
      </c>
      <c r="N460" s="33">
        <v>3.1933548791445729E-3</v>
      </c>
      <c r="O460" s="33">
        <v>2.7441813879486463E-3</v>
      </c>
      <c r="P460" s="33">
        <v>4.4917349119592647E-4</v>
      </c>
      <c r="Q460" s="33">
        <v>0</v>
      </c>
    </row>
    <row r="461" spans="1:17" x14ac:dyDescent="0.2">
      <c r="A461" s="32">
        <v>4</v>
      </c>
      <c r="B461" s="32" t="s">
        <v>1232</v>
      </c>
      <c r="C461" s="32" t="s">
        <v>1233</v>
      </c>
      <c r="D461" s="33">
        <v>1</v>
      </c>
      <c r="F461" s="33">
        <v>1</v>
      </c>
      <c r="H461" s="33">
        <v>0</v>
      </c>
      <c r="I461" s="33">
        <v>0</v>
      </c>
      <c r="L461" s="33">
        <v>0</v>
      </c>
      <c r="N461" s="33">
        <v>0</v>
      </c>
      <c r="O461" s="33">
        <v>0</v>
      </c>
      <c r="P461" s="33">
        <v>0</v>
      </c>
      <c r="Q461" s="33">
        <v>0</v>
      </c>
    </row>
    <row r="462" spans="1:17" x14ac:dyDescent="0.2">
      <c r="A462" s="32">
        <v>5</v>
      </c>
      <c r="B462" s="32" t="s">
        <v>1234</v>
      </c>
      <c r="C462" s="32" t="s">
        <v>1235</v>
      </c>
      <c r="D462" s="33">
        <v>1</v>
      </c>
      <c r="F462" s="33">
        <v>0</v>
      </c>
      <c r="H462" s="33">
        <v>1</v>
      </c>
      <c r="I462" s="33">
        <v>0</v>
      </c>
      <c r="L462" s="33">
        <v>0</v>
      </c>
      <c r="N462" s="33">
        <v>0</v>
      </c>
      <c r="O462" s="33">
        <v>0</v>
      </c>
      <c r="P462" s="33">
        <v>0</v>
      </c>
      <c r="Q462" s="33">
        <v>0</v>
      </c>
    </row>
    <row r="463" spans="1:17" x14ac:dyDescent="0.2">
      <c r="A463" s="32">
        <v>6</v>
      </c>
      <c r="B463" s="32" t="s">
        <v>1236</v>
      </c>
      <c r="C463" s="32" t="s">
        <v>1237</v>
      </c>
      <c r="D463" s="33">
        <v>0</v>
      </c>
      <c r="F463" s="33">
        <v>0</v>
      </c>
      <c r="H463" s="33">
        <v>0</v>
      </c>
      <c r="I463" s="33">
        <v>0</v>
      </c>
      <c r="L463" s="33">
        <v>0</v>
      </c>
      <c r="N463" s="33">
        <v>0</v>
      </c>
      <c r="O463" s="33">
        <v>0</v>
      </c>
      <c r="P463" s="33">
        <v>0</v>
      </c>
      <c r="Q463" s="33">
        <v>0</v>
      </c>
    </row>
    <row r="464" spans="1:17" x14ac:dyDescent="0.2">
      <c r="A464" s="32">
        <v>7</v>
      </c>
      <c r="B464" s="32" t="s">
        <v>1238</v>
      </c>
      <c r="C464" s="32" t="s">
        <v>73</v>
      </c>
      <c r="D464" s="33">
        <v>1</v>
      </c>
      <c r="F464" s="33">
        <v>0</v>
      </c>
      <c r="H464" s="33">
        <v>0</v>
      </c>
      <c r="I464" s="33">
        <v>1</v>
      </c>
      <c r="L464" s="33">
        <v>0</v>
      </c>
      <c r="N464" s="33">
        <v>1</v>
      </c>
      <c r="O464" s="33">
        <v>0.32422366307970424</v>
      </c>
      <c r="P464" s="33">
        <v>0.67577633692029571</v>
      </c>
      <c r="Q464" s="33">
        <v>0</v>
      </c>
    </row>
    <row r="465" spans="1:17" x14ac:dyDescent="0.2">
      <c r="A465" s="32">
        <v>8</v>
      </c>
      <c r="B465" s="32" t="s">
        <v>2483</v>
      </c>
      <c r="C465" s="32" t="s">
        <v>2484</v>
      </c>
      <c r="D465" s="33">
        <v>1</v>
      </c>
      <c r="F465" s="33">
        <v>0.8786138824468086</v>
      </c>
      <c r="H465" s="33">
        <v>5.5732172393129359E-2</v>
      </c>
      <c r="I465" s="33">
        <v>6.5653945160062135E-2</v>
      </c>
      <c r="L465" s="33">
        <v>3.1002407141825237E-5</v>
      </c>
      <c r="N465" s="33">
        <v>6.5622942752920313E-2</v>
      </c>
      <c r="O465" s="33">
        <v>2.0849613160379313E-2</v>
      </c>
      <c r="P465" s="33">
        <v>4.4773329592540996E-2</v>
      </c>
      <c r="Q465" s="33">
        <v>0</v>
      </c>
    </row>
    <row r="466" spans="1:17" x14ac:dyDescent="0.2">
      <c r="A466" s="32">
        <v>9</v>
      </c>
      <c r="B466" s="32" t="s">
        <v>2485</v>
      </c>
      <c r="C466" s="32" t="s">
        <v>2486</v>
      </c>
      <c r="D466" s="33">
        <v>1</v>
      </c>
      <c r="F466" s="33">
        <v>0.9246940375175865</v>
      </c>
      <c r="H466" s="33">
        <v>0</v>
      </c>
      <c r="I466" s="33">
        <v>7.530596248241346E-2</v>
      </c>
      <c r="L466" s="33">
        <v>0</v>
      </c>
      <c r="N466" s="33">
        <v>7.5305962482413474E-2</v>
      </c>
      <c r="O466" s="33">
        <v>2.3917210411279158E-2</v>
      </c>
      <c r="P466" s="33">
        <v>5.138875207113431E-2</v>
      </c>
      <c r="Q466" s="33">
        <v>0</v>
      </c>
    </row>
    <row r="467" spans="1:17" x14ac:dyDescent="0.2">
      <c r="A467" s="32">
        <v>10</v>
      </c>
      <c r="F467" s="33"/>
    </row>
    <row r="468" spans="1:17" x14ac:dyDescent="0.2">
      <c r="A468" s="32">
        <v>11</v>
      </c>
      <c r="F468" s="33"/>
    </row>
    <row r="469" spans="1:17" x14ac:dyDescent="0.2">
      <c r="A469" s="32">
        <v>12</v>
      </c>
      <c r="F469" s="33"/>
    </row>
    <row r="470" spans="1:17" x14ac:dyDescent="0.2">
      <c r="A470" s="32">
        <v>13</v>
      </c>
      <c r="F470" s="33"/>
    </row>
    <row r="471" spans="1:17" x14ac:dyDescent="0.2">
      <c r="A471" s="32">
        <v>14</v>
      </c>
      <c r="F471" s="33"/>
    </row>
    <row r="472" spans="1:17" x14ac:dyDescent="0.2">
      <c r="A472" s="32">
        <v>15</v>
      </c>
      <c r="F472" s="33"/>
    </row>
    <row r="473" spans="1:17" x14ac:dyDescent="0.2">
      <c r="A473" s="32">
        <v>16</v>
      </c>
      <c r="F473" s="33"/>
    </row>
    <row r="474" spans="1:17" x14ac:dyDescent="0.2">
      <c r="A474" s="32">
        <v>17</v>
      </c>
      <c r="F474" s="33"/>
    </row>
    <row r="475" spans="1:17" x14ac:dyDescent="0.2">
      <c r="A475" s="32">
        <v>18</v>
      </c>
      <c r="F475" s="33"/>
    </row>
    <row r="476" spans="1:17" x14ac:dyDescent="0.2">
      <c r="A476" s="32">
        <v>19</v>
      </c>
      <c r="F476" s="33"/>
    </row>
    <row r="477" spans="1:17" x14ac:dyDescent="0.2">
      <c r="A477" s="32">
        <v>20</v>
      </c>
      <c r="F477" s="33"/>
    </row>
    <row r="478" spans="1:17" x14ac:dyDescent="0.2">
      <c r="A478" s="32">
        <v>21</v>
      </c>
      <c r="F478" s="33"/>
    </row>
    <row r="479" spans="1:17" x14ac:dyDescent="0.2">
      <c r="A479" s="32">
        <v>22</v>
      </c>
      <c r="F479" s="33"/>
    </row>
    <row r="480" spans="1:17" x14ac:dyDescent="0.2">
      <c r="A480" s="32">
        <v>23</v>
      </c>
      <c r="F480" s="33"/>
    </row>
    <row r="481" spans="1:6" x14ac:dyDescent="0.2">
      <c r="A481" s="32">
        <v>24</v>
      </c>
      <c r="F481" s="33"/>
    </row>
    <row r="482" spans="1:6" x14ac:dyDescent="0.2">
      <c r="A482" s="32">
        <v>25</v>
      </c>
      <c r="F482" s="33"/>
    </row>
    <row r="483" spans="1:6" x14ac:dyDescent="0.2">
      <c r="A483" s="32">
        <v>26</v>
      </c>
      <c r="F483" s="33"/>
    </row>
    <row r="484" spans="1:6" x14ac:dyDescent="0.2">
      <c r="A484" s="32">
        <v>27</v>
      </c>
      <c r="F484" s="33"/>
    </row>
    <row r="485" spans="1:6" x14ac:dyDescent="0.2">
      <c r="A485" s="32">
        <v>28</v>
      </c>
      <c r="F485" s="33"/>
    </row>
    <row r="486" spans="1:6" x14ac:dyDescent="0.2">
      <c r="A486" s="32">
        <v>29</v>
      </c>
      <c r="F486" s="33"/>
    </row>
    <row r="487" spans="1:6" x14ac:dyDescent="0.2">
      <c r="A487" s="32">
        <v>30</v>
      </c>
      <c r="F487" s="33"/>
    </row>
    <row r="488" spans="1:6" x14ac:dyDescent="0.2">
      <c r="A488" s="32">
        <v>31</v>
      </c>
      <c r="F488" s="33"/>
    </row>
    <row r="489" spans="1:6" x14ac:dyDescent="0.2">
      <c r="A489" s="32">
        <v>32</v>
      </c>
      <c r="F489" s="33"/>
    </row>
    <row r="490" spans="1:6" x14ac:dyDescent="0.2">
      <c r="A490" s="32">
        <v>33</v>
      </c>
      <c r="F490" s="33"/>
    </row>
    <row r="491" spans="1:6" x14ac:dyDescent="0.2">
      <c r="A491" s="32">
        <v>34</v>
      </c>
      <c r="F491" s="33"/>
    </row>
    <row r="492" spans="1:6" x14ac:dyDescent="0.2">
      <c r="A492" s="32">
        <v>35</v>
      </c>
      <c r="F492" s="33"/>
    </row>
    <row r="493" spans="1:6" x14ac:dyDescent="0.2">
      <c r="A493" s="32">
        <v>36</v>
      </c>
      <c r="F493" s="33"/>
    </row>
    <row r="494" spans="1:6" x14ac:dyDescent="0.2">
      <c r="A494" s="32">
        <v>37</v>
      </c>
      <c r="F494" s="33"/>
    </row>
    <row r="495" spans="1:6" x14ac:dyDescent="0.2">
      <c r="A495" s="32">
        <v>38</v>
      </c>
      <c r="F495" s="33"/>
    </row>
    <row r="496" spans="1:6" x14ac:dyDescent="0.2">
      <c r="A496" s="32">
        <v>39</v>
      </c>
      <c r="F496" s="33"/>
    </row>
    <row r="497" spans="1:17" x14ac:dyDescent="0.2">
      <c r="A497" s="32">
        <v>40</v>
      </c>
      <c r="F497" s="33"/>
    </row>
    <row r="498" spans="1:17" x14ac:dyDescent="0.2">
      <c r="F498" s="33"/>
    </row>
    <row r="499" spans="1:17" x14ac:dyDescent="0.2">
      <c r="B499" s="32" t="s">
        <v>74</v>
      </c>
      <c r="F499" s="33"/>
    </row>
    <row r="500" spans="1:17" x14ac:dyDescent="0.2">
      <c r="B500" s="32" t="s">
        <v>1670</v>
      </c>
      <c r="F500" s="33"/>
    </row>
    <row r="501" spans="1:17" x14ac:dyDescent="0.2">
      <c r="A501" s="32">
        <v>1</v>
      </c>
      <c r="B501" s="32" t="s">
        <v>2487</v>
      </c>
      <c r="D501" s="33">
        <v>1</v>
      </c>
      <c r="F501" s="33">
        <v>0.93576741014647702</v>
      </c>
      <c r="H501" s="33">
        <v>6.4220701074288178E-2</v>
      </c>
      <c r="I501" s="33">
        <v>1.1888779234845978E-5</v>
      </c>
      <c r="L501" s="33">
        <v>1.1888779234845978E-5</v>
      </c>
      <c r="N501" s="33">
        <v>0</v>
      </c>
      <c r="O501" s="33">
        <v>0</v>
      </c>
      <c r="P501" s="33">
        <v>0</v>
      </c>
      <c r="Q501" s="33">
        <v>0</v>
      </c>
    </row>
    <row r="502" spans="1:17" x14ac:dyDescent="0.2">
      <c r="A502" s="32">
        <v>2</v>
      </c>
      <c r="B502" s="32" t="s">
        <v>2488</v>
      </c>
      <c r="D502" s="33">
        <v>1</v>
      </c>
      <c r="F502" s="33">
        <v>0.96508446193441544</v>
      </c>
      <c r="H502" s="33">
        <v>3.4915538065584631E-2</v>
      </c>
      <c r="I502" s="33">
        <v>0</v>
      </c>
      <c r="L502" s="33">
        <v>0</v>
      </c>
      <c r="N502" s="33">
        <v>0</v>
      </c>
      <c r="O502" s="33">
        <v>0</v>
      </c>
      <c r="P502" s="33">
        <v>0</v>
      </c>
      <c r="Q502" s="33">
        <v>0</v>
      </c>
    </row>
    <row r="503" spans="1:17" x14ac:dyDescent="0.2">
      <c r="A503" s="32">
        <v>3</v>
      </c>
      <c r="B503" s="32" t="s">
        <v>2489</v>
      </c>
      <c r="D503" s="33">
        <v>1</v>
      </c>
      <c r="F503" s="33">
        <v>0.93752377934128805</v>
      </c>
      <c r="H503" s="33">
        <v>6.2476220658712008E-2</v>
      </c>
      <c r="I503" s="33">
        <v>0</v>
      </c>
      <c r="L503" s="33">
        <v>0</v>
      </c>
      <c r="N503" s="33">
        <v>0</v>
      </c>
      <c r="O503" s="33">
        <v>0</v>
      </c>
      <c r="P503" s="33">
        <v>0</v>
      </c>
      <c r="Q503" s="33">
        <v>0</v>
      </c>
    </row>
    <row r="504" spans="1:17" x14ac:dyDescent="0.2">
      <c r="A504" s="32">
        <v>4</v>
      </c>
      <c r="B504" s="32" t="s">
        <v>2490</v>
      </c>
      <c r="D504" s="33">
        <v>1</v>
      </c>
      <c r="F504" s="33">
        <v>0.99054872167395058</v>
      </c>
      <c r="H504" s="33">
        <v>9.4512783260494847E-3</v>
      </c>
      <c r="I504" s="33">
        <v>0</v>
      </c>
      <c r="L504" s="33">
        <v>0</v>
      </c>
      <c r="N504" s="33">
        <v>0</v>
      </c>
      <c r="O504" s="33">
        <v>0</v>
      </c>
      <c r="P504" s="33">
        <v>0</v>
      </c>
      <c r="Q504" s="33">
        <v>0</v>
      </c>
    </row>
    <row r="505" spans="1:17" x14ac:dyDescent="0.2">
      <c r="A505" s="32">
        <v>5</v>
      </c>
      <c r="B505" s="32" t="s">
        <v>2491</v>
      </c>
      <c r="D505" s="33">
        <v>1</v>
      </c>
      <c r="F505" s="33">
        <v>0.67927445143628939</v>
      </c>
      <c r="H505" s="33">
        <v>0.32072554856371066</v>
      </c>
      <c r="I505" s="33">
        <v>0</v>
      </c>
      <c r="L505" s="33">
        <v>0</v>
      </c>
      <c r="N505" s="33">
        <v>0</v>
      </c>
      <c r="O505" s="33">
        <v>0</v>
      </c>
      <c r="P505" s="33">
        <v>0</v>
      </c>
      <c r="Q505" s="33">
        <v>0</v>
      </c>
    </row>
    <row r="506" spans="1:17" x14ac:dyDescent="0.2">
      <c r="A506" s="32">
        <v>6</v>
      </c>
      <c r="B506" s="32" t="s">
        <v>2492</v>
      </c>
      <c r="D506" s="33">
        <v>1</v>
      </c>
      <c r="F506" s="33">
        <v>0.96995608007628276</v>
      </c>
      <c r="H506" s="33">
        <v>3.0043919923717331E-2</v>
      </c>
      <c r="I506" s="33">
        <v>0</v>
      </c>
      <c r="L506" s="33">
        <v>0</v>
      </c>
      <c r="N506" s="33">
        <v>0</v>
      </c>
      <c r="O506" s="33">
        <v>0</v>
      </c>
      <c r="P506" s="33">
        <v>0</v>
      </c>
      <c r="Q506" s="33">
        <v>0</v>
      </c>
    </row>
    <row r="507" spans="1:17" x14ac:dyDescent="0.2">
      <c r="A507" s="32">
        <v>7</v>
      </c>
      <c r="B507" s="32" t="s">
        <v>2493</v>
      </c>
      <c r="D507" s="33">
        <v>1</v>
      </c>
      <c r="F507" s="33">
        <v>0.94383098026083057</v>
      </c>
      <c r="H507" s="33">
        <v>5.6169019739169421E-2</v>
      </c>
      <c r="I507" s="33">
        <v>0</v>
      </c>
      <c r="L507" s="33">
        <v>0</v>
      </c>
      <c r="N507" s="33">
        <v>0</v>
      </c>
      <c r="O507" s="33">
        <v>0</v>
      </c>
      <c r="P507" s="33">
        <v>0</v>
      </c>
      <c r="Q507" s="33">
        <v>0</v>
      </c>
    </row>
    <row r="508" spans="1:17" x14ac:dyDescent="0.2">
      <c r="A508" s="32">
        <v>8</v>
      </c>
      <c r="B508" s="32" t="s">
        <v>2494</v>
      </c>
      <c r="D508" s="33">
        <v>1</v>
      </c>
      <c r="F508" s="33">
        <v>0.96491941009541582</v>
      </c>
      <c r="H508" s="33">
        <v>3.5080589904584153E-2</v>
      </c>
      <c r="I508" s="33">
        <v>0</v>
      </c>
      <c r="L508" s="33">
        <v>0</v>
      </c>
      <c r="N508" s="33">
        <v>0</v>
      </c>
      <c r="O508" s="33">
        <v>0</v>
      </c>
      <c r="P508" s="33">
        <v>0</v>
      </c>
      <c r="Q508" s="33">
        <v>0</v>
      </c>
    </row>
    <row r="509" spans="1:17" x14ac:dyDescent="0.2">
      <c r="A509" s="32">
        <v>9</v>
      </c>
      <c r="B509" s="32" t="s">
        <v>2495</v>
      </c>
      <c r="D509" s="33">
        <v>1</v>
      </c>
      <c r="F509" s="33">
        <v>0</v>
      </c>
      <c r="H509" s="33">
        <v>0</v>
      </c>
      <c r="I509" s="33">
        <v>1</v>
      </c>
      <c r="L509" s="33">
        <v>0</v>
      </c>
      <c r="N509" s="33">
        <v>1</v>
      </c>
      <c r="O509" s="33">
        <v>0.32389575319830471</v>
      </c>
      <c r="P509" s="33">
        <v>0.67610424680169534</v>
      </c>
      <c r="Q509" s="33">
        <v>0</v>
      </c>
    </row>
    <row r="510" spans="1:17" x14ac:dyDescent="0.2">
      <c r="A510" s="32">
        <v>10</v>
      </c>
      <c r="B510" s="32" t="s">
        <v>75</v>
      </c>
      <c r="D510" s="33">
        <v>0</v>
      </c>
      <c r="F510" s="33">
        <v>0</v>
      </c>
      <c r="H510" s="33">
        <v>0</v>
      </c>
      <c r="I510" s="33">
        <v>0</v>
      </c>
      <c r="L510" s="33">
        <v>0</v>
      </c>
      <c r="N510" s="33">
        <v>0</v>
      </c>
      <c r="O510" s="33">
        <v>0</v>
      </c>
      <c r="P510" s="33">
        <v>0</v>
      </c>
      <c r="Q510" s="33">
        <v>0</v>
      </c>
    </row>
    <row r="511" spans="1:17" x14ac:dyDescent="0.2">
      <c r="A511" s="32">
        <v>11</v>
      </c>
      <c r="B511" s="32" t="s">
        <v>2496</v>
      </c>
      <c r="D511" s="33">
        <v>0</v>
      </c>
      <c r="F511" s="33">
        <v>0</v>
      </c>
      <c r="H511" s="33">
        <v>0</v>
      </c>
      <c r="I511" s="33">
        <v>0</v>
      </c>
      <c r="L511" s="33">
        <v>0</v>
      </c>
      <c r="N511" s="33">
        <v>0</v>
      </c>
      <c r="O511" s="33">
        <v>0</v>
      </c>
      <c r="P511" s="33">
        <v>0</v>
      </c>
      <c r="Q511" s="33">
        <v>0</v>
      </c>
    </row>
    <row r="512" spans="1:17" x14ac:dyDescent="0.2">
      <c r="A512" s="32">
        <v>12</v>
      </c>
      <c r="F512" s="33"/>
    </row>
    <row r="513" spans="1:6" x14ac:dyDescent="0.2">
      <c r="A513" s="32">
        <v>13</v>
      </c>
      <c r="F513" s="33"/>
    </row>
    <row r="514" spans="1:6" x14ac:dyDescent="0.2">
      <c r="A514" s="32">
        <v>14</v>
      </c>
      <c r="F514" s="33"/>
    </row>
    <row r="515" spans="1:6" x14ac:dyDescent="0.2">
      <c r="A515" s="32">
        <v>15</v>
      </c>
      <c r="F515" s="33"/>
    </row>
    <row r="516" spans="1:6" x14ac:dyDescent="0.2">
      <c r="A516" s="32">
        <v>16</v>
      </c>
      <c r="F516" s="33"/>
    </row>
    <row r="517" spans="1:6" x14ac:dyDescent="0.2">
      <c r="A517" s="32">
        <v>17</v>
      </c>
      <c r="F517" s="33"/>
    </row>
    <row r="518" spans="1:6" x14ac:dyDescent="0.2">
      <c r="A518" s="32">
        <v>18</v>
      </c>
      <c r="F518" s="33"/>
    </row>
    <row r="519" spans="1:6" x14ac:dyDescent="0.2">
      <c r="F519" s="33"/>
    </row>
    <row r="520" spans="1:6" x14ac:dyDescent="0.2">
      <c r="F520" s="33"/>
    </row>
    <row r="521" spans="1:6" x14ac:dyDescent="0.2">
      <c r="F521" s="33"/>
    </row>
    <row r="522" spans="1:6" x14ac:dyDescent="0.2">
      <c r="F522" s="33"/>
    </row>
    <row r="523" spans="1:6" x14ac:dyDescent="0.2">
      <c r="F523" s="33"/>
    </row>
    <row r="524" spans="1:6" x14ac:dyDescent="0.2">
      <c r="F524" s="33"/>
    </row>
    <row r="525" spans="1:6" x14ac:dyDescent="0.2">
      <c r="F525" s="33"/>
    </row>
    <row r="526" spans="1:6" x14ac:dyDescent="0.2">
      <c r="F526" s="33"/>
    </row>
    <row r="527" spans="1:6" x14ac:dyDescent="0.2">
      <c r="F527" s="33"/>
    </row>
    <row r="528" spans="1:6" x14ac:dyDescent="0.2">
      <c r="F528" s="33"/>
    </row>
    <row r="529" spans="1:17" x14ac:dyDescent="0.2">
      <c r="F529" s="33"/>
    </row>
    <row r="530" spans="1:17" x14ac:dyDescent="0.2">
      <c r="F530" s="33"/>
    </row>
    <row r="531" spans="1:17" x14ac:dyDescent="0.2">
      <c r="F531" s="33"/>
    </row>
    <row r="532" spans="1:17" x14ac:dyDescent="0.2">
      <c r="F532" s="33"/>
    </row>
    <row r="533" spans="1:17" x14ac:dyDescent="0.2">
      <c r="F533" s="33"/>
    </row>
    <row r="534" spans="1:17" x14ac:dyDescent="0.2">
      <c r="F534" s="33"/>
    </row>
    <row r="535" spans="1:17" x14ac:dyDescent="0.2">
      <c r="F535" s="33"/>
    </row>
    <row r="536" spans="1:17" x14ac:dyDescent="0.2">
      <c r="F536" s="33"/>
    </row>
    <row r="537" spans="1:17" x14ac:dyDescent="0.2">
      <c r="B537" s="32" t="s">
        <v>1881</v>
      </c>
      <c r="F537" s="33"/>
    </row>
    <row r="538" spans="1:17" x14ac:dyDescent="0.2">
      <c r="F538" s="33"/>
    </row>
    <row r="539" spans="1:17" x14ac:dyDescent="0.2">
      <c r="B539" s="32" t="s">
        <v>1882</v>
      </c>
      <c r="F539" s="33"/>
    </row>
    <row r="540" spans="1:17" x14ac:dyDescent="0.2">
      <c r="F540" s="33"/>
    </row>
    <row r="541" spans="1:17" x14ac:dyDescent="0.2">
      <c r="A541" s="32">
        <v>1</v>
      </c>
      <c r="B541" s="32" t="s">
        <v>1883</v>
      </c>
      <c r="D541" s="33">
        <v>6492570022.5200014</v>
      </c>
      <c r="F541" s="33">
        <v>5653048566.0583582</v>
      </c>
      <c r="H541" s="33">
        <v>385619848.42484289</v>
      </c>
      <c r="I541" s="33">
        <v>453901608.03680044</v>
      </c>
      <c r="L541" s="33">
        <v>204724.27671333775</v>
      </c>
      <c r="N541" s="33">
        <v>453696883.76008713</v>
      </c>
      <c r="O541" s="33">
        <v>144053837.02218154</v>
      </c>
      <c r="P541" s="33">
        <v>309643046.73790562</v>
      </c>
      <c r="Q541" s="33">
        <v>8.8488281144771059E-12</v>
      </c>
    </row>
    <row r="542" spans="1:17" x14ac:dyDescent="0.2">
      <c r="F542" s="33"/>
    </row>
    <row r="543" spans="1:17" x14ac:dyDescent="0.2">
      <c r="A543" s="32">
        <v>2</v>
      </c>
      <c r="B543" s="32" t="s">
        <v>1884</v>
      </c>
      <c r="D543" s="33">
        <v>2419286203.2700005</v>
      </c>
      <c r="F543" s="33">
        <v>2091528460.1268773</v>
      </c>
      <c r="H543" s="33">
        <v>159664577.96647444</v>
      </c>
      <c r="I543" s="33">
        <v>168093165.17664853</v>
      </c>
      <c r="L543" s="33">
        <v>156838.07680747</v>
      </c>
      <c r="N543" s="33">
        <v>167936327.09984106</v>
      </c>
      <c r="O543" s="33">
        <v>53369104.810249016</v>
      </c>
      <c r="P543" s="33">
        <v>114567222.28959204</v>
      </c>
      <c r="Q543" s="33">
        <v>3.5056204241065819E-12</v>
      </c>
    </row>
    <row r="544" spans="1:17" x14ac:dyDescent="0.2">
      <c r="A544" s="32">
        <v>3</v>
      </c>
      <c r="B544" s="32" t="s">
        <v>1885</v>
      </c>
      <c r="D544" s="33">
        <v>4073283819.250001</v>
      </c>
      <c r="F544" s="33">
        <v>3561520105.9314809</v>
      </c>
      <c r="H544" s="33">
        <v>225955270.45836845</v>
      </c>
      <c r="I544" s="33">
        <v>285808442.86015201</v>
      </c>
      <c r="L544" s="33">
        <v>47886.199905867747</v>
      </c>
      <c r="N544" s="33">
        <v>285760556.66024613</v>
      </c>
      <c r="O544" s="33">
        <v>90684732.211932525</v>
      </c>
      <c r="P544" s="33">
        <v>195075824.44831359</v>
      </c>
      <c r="Q544" s="33">
        <v>5.3432076903705236E-12</v>
      </c>
    </row>
    <row r="545" spans="1:17" x14ac:dyDescent="0.2">
      <c r="F545" s="33"/>
    </row>
    <row r="546" spans="1:17" x14ac:dyDescent="0.2">
      <c r="A546" s="32">
        <v>4</v>
      </c>
      <c r="B546" s="32" t="s">
        <v>1886</v>
      </c>
      <c r="D546" s="33">
        <v>345238438.32000029</v>
      </c>
      <c r="F546" s="33">
        <v>299562999.97091067</v>
      </c>
      <c r="H546" s="33">
        <v>18539713.584298965</v>
      </c>
      <c r="I546" s="33">
        <v>27135724.764790684</v>
      </c>
      <c r="L546" s="33">
        <v>2778.9719701127019</v>
      </c>
      <c r="N546" s="33">
        <v>27132945.792820573</v>
      </c>
      <c r="O546" s="33">
        <v>8513304.0579622462</v>
      </c>
      <c r="P546" s="33">
        <v>18619641.734858327</v>
      </c>
      <c r="Q546" s="33">
        <v>8.7070196738875489E-13</v>
      </c>
    </row>
    <row r="547" spans="1:17" x14ac:dyDescent="0.2">
      <c r="A547" s="32">
        <v>5</v>
      </c>
      <c r="B547" s="32" t="s">
        <v>1887</v>
      </c>
      <c r="D547" s="33">
        <v>4418522257.5700016</v>
      </c>
      <c r="F547" s="33">
        <v>3861083105.9023914</v>
      </c>
      <c r="H547" s="33">
        <v>244494984.04266742</v>
      </c>
      <c r="I547" s="33">
        <v>312944167.62494266</v>
      </c>
      <c r="L547" s="33">
        <v>50665.17187598045</v>
      </c>
      <c r="N547" s="33">
        <v>312893502.45306671</v>
      </c>
      <c r="O547" s="33">
        <v>99198036.269894779</v>
      </c>
      <c r="P547" s="33">
        <v>213695466.18317193</v>
      </c>
      <c r="Q547" s="33">
        <v>6.2139096577592784E-12</v>
      </c>
    </row>
    <row r="548" spans="1:17" x14ac:dyDescent="0.2">
      <c r="F548" s="33"/>
    </row>
    <row r="549" spans="1:17" x14ac:dyDescent="0.2">
      <c r="B549" s="32" t="s">
        <v>1888</v>
      </c>
      <c r="F549" s="33"/>
    </row>
    <row r="550" spans="1:17" x14ac:dyDescent="0.2">
      <c r="A550" s="32">
        <v>6</v>
      </c>
      <c r="B550" s="32" t="s">
        <v>1893</v>
      </c>
      <c r="D550" s="33">
        <v>43434958.902090006</v>
      </c>
      <c r="F550" s="33">
        <v>37642730.803150259</v>
      </c>
      <c r="H550" s="33">
        <v>2561509.7063087318</v>
      </c>
      <c r="I550" s="33">
        <v>3230718.3926310134</v>
      </c>
      <c r="L550" s="33">
        <v>1156.8577562733033</v>
      </c>
      <c r="N550" s="33">
        <v>3229561.5348747401</v>
      </c>
      <c r="O550" s="33">
        <v>1020690.0384793777</v>
      </c>
      <c r="P550" s="33">
        <v>2208871.4963953621</v>
      </c>
      <c r="Q550" s="33">
        <v>0</v>
      </c>
    </row>
    <row r="551" spans="1:17" x14ac:dyDescent="0.2">
      <c r="A551" s="32">
        <v>7</v>
      </c>
      <c r="B551" s="32" t="s">
        <v>1894</v>
      </c>
      <c r="D551" s="33">
        <v>89278977.999999985</v>
      </c>
      <c r="F551" s="33">
        <v>77455484.262884691</v>
      </c>
      <c r="H551" s="33">
        <v>4095410.6387411822</v>
      </c>
      <c r="I551" s="33">
        <v>7728083.098374119</v>
      </c>
      <c r="L551" s="33">
        <v>425.78195862202313</v>
      </c>
      <c r="N551" s="33">
        <v>7727657.3164154971</v>
      </c>
      <c r="O551" s="33">
        <v>2522667.1611161698</v>
      </c>
      <c r="P551" s="33">
        <v>5204990.1552993273</v>
      </c>
      <c r="Q551" s="33">
        <v>0</v>
      </c>
    </row>
    <row r="552" spans="1:17" x14ac:dyDescent="0.2">
      <c r="A552" s="32">
        <v>8</v>
      </c>
      <c r="B552" s="32" t="s">
        <v>1239</v>
      </c>
      <c r="D552" s="33">
        <v>7326675.9999999991</v>
      </c>
      <c r="F552" s="33">
        <v>6567466.8476915052</v>
      </c>
      <c r="H552" s="33">
        <v>360096.60715444217</v>
      </c>
      <c r="I552" s="33">
        <v>399112.54515405226</v>
      </c>
      <c r="L552" s="33">
        <v>195.76879170054093</v>
      </c>
      <c r="N552" s="33">
        <v>398916.77636235172</v>
      </c>
      <c r="O552" s="33">
        <v>127831.72843074553</v>
      </c>
      <c r="P552" s="33">
        <v>271085.04793160618</v>
      </c>
      <c r="Q552" s="33">
        <v>1.8334901919395626E-13</v>
      </c>
    </row>
    <row r="553" spans="1:17" x14ac:dyDescent="0.2">
      <c r="A553" s="32">
        <v>9</v>
      </c>
      <c r="B553" s="32" t="s">
        <v>1240</v>
      </c>
      <c r="D553" s="33">
        <v>104067439.13621081</v>
      </c>
      <c r="F553" s="33">
        <v>96090910.252275959</v>
      </c>
      <c r="H553" s="33">
        <v>0</v>
      </c>
      <c r="I553" s="33">
        <v>7976528.8839348536</v>
      </c>
      <c r="L553" s="33">
        <v>1716.2047600187343</v>
      </c>
      <c r="N553" s="33">
        <v>7974812.6791748349</v>
      </c>
      <c r="O553" s="33">
        <v>2592827.9473244175</v>
      </c>
      <c r="P553" s="33">
        <v>5381984.7318504173</v>
      </c>
      <c r="Q553" s="33">
        <v>6.1148525802722101E-13</v>
      </c>
    </row>
    <row r="554" spans="1:17" x14ac:dyDescent="0.2">
      <c r="A554" s="32">
        <v>10</v>
      </c>
      <c r="B554" s="32" t="s">
        <v>1241</v>
      </c>
      <c r="D554" s="33">
        <v>480272</v>
      </c>
      <c r="F554" s="33">
        <v>415670.69643548207</v>
      </c>
      <c r="H554" s="33">
        <v>24411.106095953157</v>
      </c>
      <c r="I554" s="33">
        <v>40190.197468564773</v>
      </c>
      <c r="L554" s="33">
        <v>3.6752643926457633</v>
      </c>
      <c r="N554" s="33">
        <v>40186.522204172128</v>
      </c>
      <c r="O554" s="33">
        <v>12539.214551051777</v>
      </c>
      <c r="P554" s="33">
        <v>27647.307653120348</v>
      </c>
      <c r="Q554" s="33">
        <v>0</v>
      </c>
    </row>
    <row r="555" spans="1:17" x14ac:dyDescent="0.2">
      <c r="A555" s="32">
        <v>11</v>
      </c>
      <c r="B555" s="32" t="s">
        <v>1242</v>
      </c>
      <c r="D555" s="33">
        <v>244588324.03830078</v>
      </c>
      <c r="F555" s="33">
        <v>218172262.86243787</v>
      </c>
      <c r="H555" s="33">
        <v>7041428.0583003089</v>
      </c>
      <c r="I555" s="33">
        <v>19374633.117562603</v>
      </c>
      <c r="L555" s="33">
        <v>3498.2885310072475</v>
      </c>
      <c r="N555" s="33">
        <v>19371134.829031594</v>
      </c>
      <c r="O555" s="33">
        <v>6276556.0899017621</v>
      </c>
      <c r="P555" s="33">
        <v>13094578.739129832</v>
      </c>
      <c r="Q555" s="33">
        <v>7.9483427722117725E-13</v>
      </c>
    </row>
    <row r="556" spans="1:17" x14ac:dyDescent="0.2">
      <c r="F556" s="33"/>
    </row>
    <row r="557" spans="1:17" x14ac:dyDescent="0.2">
      <c r="B557" s="32" t="s">
        <v>1243</v>
      </c>
      <c r="F557" s="33"/>
    </row>
    <row r="558" spans="1:17" x14ac:dyDescent="0.2">
      <c r="A558" s="32">
        <v>12</v>
      </c>
      <c r="B558" s="32" t="s">
        <v>819</v>
      </c>
      <c r="D558" s="33">
        <v>502196487</v>
      </c>
      <c r="F558" s="33">
        <v>439643556.61911047</v>
      </c>
      <c r="H558" s="33">
        <v>28594743.338706903</v>
      </c>
      <c r="I558" s="33">
        <v>33958187.042182602</v>
      </c>
      <c r="L558" s="33">
        <v>15555.226944573948</v>
      </c>
      <c r="N558" s="33">
        <v>33942631.815238029</v>
      </c>
      <c r="O558" s="33">
        <v>10778578.07570019</v>
      </c>
      <c r="P558" s="33">
        <v>23164053.739537839</v>
      </c>
      <c r="Q558" s="33">
        <v>6.5897646045559955E-13</v>
      </c>
    </row>
    <row r="559" spans="1:17" x14ac:dyDescent="0.2">
      <c r="A559" s="32">
        <v>13</v>
      </c>
      <c r="B559" s="32" t="s">
        <v>820</v>
      </c>
      <c r="D559" s="33">
        <v>100707740</v>
      </c>
      <c r="F559" s="33">
        <v>86299724.418162271</v>
      </c>
      <c r="H559" s="33">
        <v>5223560.284217543</v>
      </c>
      <c r="I559" s="33">
        <v>9184455.2976201847</v>
      </c>
      <c r="L559" s="33">
        <v>763.04225188133717</v>
      </c>
      <c r="N559" s="33">
        <v>9183692.2553683035</v>
      </c>
      <c r="O559" s="33">
        <v>2865544.9948077453</v>
      </c>
      <c r="P559" s="33">
        <v>6318147.2605605591</v>
      </c>
      <c r="Q559" s="33">
        <v>0</v>
      </c>
    </row>
    <row r="560" spans="1:17" x14ac:dyDescent="0.2">
      <c r="A560" s="32">
        <v>14</v>
      </c>
      <c r="B560" s="32" t="s">
        <v>821</v>
      </c>
      <c r="D560" s="33">
        <v>3147887.16</v>
      </c>
      <c r="F560" s="33">
        <v>2936188.7806725097</v>
      </c>
      <c r="H560" s="33">
        <v>211698.37932749046</v>
      </c>
      <c r="I560" s="33">
        <v>0</v>
      </c>
      <c r="L560" s="33">
        <v>0</v>
      </c>
      <c r="N560" s="33">
        <v>0</v>
      </c>
      <c r="O560" s="33">
        <v>0</v>
      </c>
      <c r="P560" s="33">
        <v>0</v>
      </c>
      <c r="Q560" s="33">
        <v>0</v>
      </c>
    </row>
    <row r="561" spans="1:17" x14ac:dyDescent="0.2">
      <c r="A561" s="32">
        <v>15</v>
      </c>
      <c r="B561" s="32" t="s">
        <v>2500</v>
      </c>
      <c r="D561" s="33">
        <v>23057677.960000001</v>
      </c>
      <c r="F561" s="33">
        <v>0</v>
      </c>
      <c r="H561" s="33">
        <v>525361.27</v>
      </c>
      <c r="I561" s="33">
        <v>0</v>
      </c>
      <c r="L561" s="33">
        <v>0</v>
      </c>
      <c r="N561" s="33">
        <v>0</v>
      </c>
      <c r="O561" s="33">
        <v>0</v>
      </c>
      <c r="P561" s="33">
        <v>0</v>
      </c>
      <c r="Q561" s="33">
        <v>0</v>
      </c>
    </row>
    <row r="562" spans="1:17" x14ac:dyDescent="0.2">
      <c r="A562" s="32">
        <v>16</v>
      </c>
      <c r="B562" s="32" t="s">
        <v>822</v>
      </c>
      <c r="D562" s="33">
        <v>-2824747</v>
      </c>
      <c r="F562" s="33">
        <v>0</v>
      </c>
      <c r="H562" s="33">
        <v>-2824747</v>
      </c>
      <c r="I562" s="33">
        <v>0</v>
      </c>
      <c r="L562" s="33">
        <v>0</v>
      </c>
      <c r="N562" s="33">
        <v>0</v>
      </c>
      <c r="O562" s="33">
        <v>0</v>
      </c>
      <c r="P562" s="33">
        <v>0</v>
      </c>
      <c r="Q562" s="33">
        <v>0</v>
      </c>
    </row>
    <row r="563" spans="1:17" x14ac:dyDescent="0.2">
      <c r="A563" s="32">
        <v>17</v>
      </c>
      <c r="B563" s="32" t="s">
        <v>2501</v>
      </c>
      <c r="D563" s="33">
        <v>59597737.969999999</v>
      </c>
      <c r="F563" s="33">
        <v>0</v>
      </c>
      <c r="H563" s="33">
        <v>3265538.018409566</v>
      </c>
      <c r="I563" s="33">
        <v>0</v>
      </c>
      <c r="L563" s="33">
        <v>0</v>
      </c>
      <c r="N563" s="33">
        <v>0</v>
      </c>
      <c r="O563" s="33">
        <v>0</v>
      </c>
      <c r="P563" s="33">
        <v>0</v>
      </c>
      <c r="Q563" s="33">
        <v>0</v>
      </c>
    </row>
    <row r="564" spans="1:17" x14ac:dyDescent="0.2">
      <c r="A564" s="32">
        <v>18</v>
      </c>
      <c r="B564" s="32" t="s">
        <v>1335</v>
      </c>
      <c r="D564" s="33">
        <v>685882783.09000003</v>
      </c>
      <c r="F564" s="33">
        <v>528879469.81794524</v>
      </c>
      <c r="H564" s="33">
        <v>34996154.290661506</v>
      </c>
      <c r="I564" s="33">
        <v>43142642.339802794</v>
      </c>
      <c r="L564" s="33">
        <v>16318.269196455285</v>
      </c>
      <c r="N564" s="33">
        <v>43126324.070606336</v>
      </c>
      <c r="O564" s="33">
        <v>13644123.070507936</v>
      </c>
      <c r="P564" s="33">
        <v>29482201.0000984</v>
      </c>
      <c r="Q564" s="33">
        <v>6.5897646045559955E-13</v>
      </c>
    </row>
    <row r="565" spans="1:17" x14ac:dyDescent="0.2">
      <c r="F565" s="33"/>
    </row>
    <row r="566" spans="1:17" x14ac:dyDescent="0.2">
      <c r="A566" s="32">
        <v>19</v>
      </c>
      <c r="B566" s="32" t="s">
        <v>1336</v>
      </c>
      <c r="D566" s="33">
        <v>3977227798.518302</v>
      </c>
      <c r="F566" s="33">
        <v>3550375898.9468842</v>
      </c>
      <c r="H566" s="33">
        <v>216540257.81030622</v>
      </c>
      <c r="I566" s="33">
        <v>289176158.40270245</v>
      </c>
      <c r="L566" s="33">
        <v>37845.191210532408</v>
      </c>
      <c r="N566" s="33">
        <v>289138313.21149194</v>
      </c>
      <c r="O566" s="33">
        <v>91830469.28928861</v>
      </c>
      <c r="P566" s="33">
        <v>197307843.92220336</v>
      </c>
      <c r="Q566" s="33">
        <v>6.3497674745248559E-12</v>
      </c>
    </row>
    <row r="567" spans="1:17" x14ac:dyDescent="0.2">
      <c r="F567" s="33"/>
    </row>
    <row r="568" spans="1:17" x14ac:dyDescent="0.2">
      <c r="B568" s="32" t="s">
        <v>1337</v>
      </c>
      <c r="F568" s="33"/>
    </row>
    <row r="569" spans="1:17" x14ac:dyDescent="0.2">
      <c r="A569" s="32">
        <v>20</v>
      </c>
      <c r="B569" s="32" t="s">
        <v>1338</v>
      </c>
      <c r="D569" s="33">
        <v>1522035956.74</v>
      </c>
      <c r="F569" s="33">
        <v>1342076919.5654504</v>
      </c>
      <c r="H569" s="33">
        <v>75816559.35003905</v>
      </c>
      <c r="I569" s="33">
        <v>104142477.82451053</v>
      </c>
      <c r="L569" s="33">
        <v>6663.0818311375333</v>
      </c>
      <c r="N569" s="33">
        <v>104135814.74267939</v>
      </c>
      <c r="O569" s="33">
        <v>33654442.050709493</v>
      </c>
      <c r="P569" s="33">
        <v>70481372.691969886</v>
      </c>
      <c r="Q569" s="33">
        <v>0</v>
      </c>
    </row>
    <row r="570" spans="1:17" x14ac:dyDescent="0.2">
      <c r="F570" s="33"/>
    </row>
    <row r="571" spans="1:17" x14ac:dyDescent="0.2">
      <c r="B571" s="32" t="s">
        <v>1339</v>
      </c>
      <c r="F571" s="33"/>
    </row>
    <row r="572" spans="1:17" x14ac:dyDescent="0.2">
      <c r="A572" s="32">
        <v>21</v>
      </c>
      <c r="B572" s="32" t="s">
        <v>1340</v>
      </c>
      <c r="D572" s="33">
        <v>980861389.39999998</v>
      </c>
      <c r="F572" s="33">
        <v>858787982.80655313</v>
      </c>
      <c r="H572" s="33">
        <v>49298743.593609117</v>
      </c>
      <c r="I572" s="33">
        <v>72774662.999837756</v>
      </c>
      <c r="L572" s="33">
        <v>14249.990768725833</v>
      </c>
      <c r="N572" s="33">
        <v>72760413.009069026</v>
      </c>
      <c r="O572" s="33">
        <v>23657671.477011081</v>
      </c>
      <c r="P572" s="33">
        <v>49102741.532057948</v>
      </c>
      <c r="Q572" s="33">
        <v>4.8918820642177681E-12</v>
      </c>
    </row>
    <row r="573" spans="1:17" x14ac:dyDescent="0.2">
      <c r="A573" s="32">
        <v>22</v>
      </c>
      <c r="B573" s="32" t="s">
        <v>1341</v>
      </c>
      <c r="D573" s="33">
        <v>192192743.09</v>
      </c>
      <c r="F573" s="33">
        <v>167700748.64225844</v>
      </c>
      <c r="H573" s="33">
        <v>10428735.887909818</v>
      </c>
      <c r="I573" s="33">
        <v>14063258.55983174</v>
      </c>
      <c r="L573" s="33">
        <v>3776.6514252515553</v>
      </c>
      <c r="N573" s="33">
        <v>14059481.908406489</v>
      </c>
      <c r="O573" s="33">
        <v>4451800.5717718694</v>
      </c>
      <c r="P573" s="33">
        <v>9607681.3366346192</v>
      </c>
      <c r="Q573" s="33">
        <v>1.0228976989095669E-14</v>
      </c>
    </row>
    <row r="574" spans="1:17" x14ac:dyDescent="0.2">
      <c r="A574" s="32">
        <v>23</v>
      </c>
      <c r="B574" s="32" t="s">
        <v>1342</v>
      </c>
      <c r="D574" s="33">
        <v>-6011854.4199999999</v>
      </c>
      <c r="F574" s="33">
        <v>-5207773.4701500861</v>
      </c>
      <c r="H574" s="33">
        <v>-303782.3994945992</v>
      </c>
      <c r="I574" s="33">
        <v>-500298.55035531416</v>
      </c>
      <c r="L574" s="33">
        <v>-45.73148406846969</v>
      </c>
      <c r="N574" s="33">
        <v>-500252.81887124572</v>
      </c>
      <c r="O574" s="33">
        <v>-156153.93622331505</v>
      </c>
      <c r="P574" s="33">
        <v>-344098.8826479307</v>
      </c>
      <c r="Q574" s="33">
        <v>0</v>
      </c>
    </row>
    <row r="575" spans="1:17" x14ac:dyDescent="0.2">
      <c r="A575" s="32">
        <v>24</v>
      </c>
      <c r="B575" s="32" t="s">
        <v>1343</v>
      </c>
      <c r="D575" s="33">
        <v>29144073.939999998</v>
      </c>
      <c r="F575" s="33">
        <v>25846050.149582114</v>
      </c>
      <c r="H575" s="33">
        <v>1501720.9336556299</v>
      </c>
      <c r="I575" s="33">
        <v>1796302.8567622532</v>
      </c>
      <c r="L575" s="33">
        <v>465.49928022000717</v>
      </c>
      <c r="N575" s="33">
        <v>1795837.3574820333</v>
      </c>
      <c r="O575" s="33">
        <v>573097.75526088523</v>
      </c>
      <c r="P575" s="33">
        <v>1222739.6022211481</v>
      </c>
      <c r="Q575" s="33">
        <v>5.0249717274480587E-13</v>
      </c>
    </row>
    <row r="576" spans="1:17" x14ac:dyDescent="0.2">
      <c r="A576" s="32">
        <v>25</v>
      </c>
      <c r="B576" s="32" t="s">
        <v>1344</v>
      </c>
      <c r="D576" s="33">
        <v>98561044.560000002</v>
      </c>
      <c r="F576" s="33">
        <v>89659333.980000004</v>
      </c>
      <c r="H576" s="33">
        <v>4324429.4808333945</v>
      </c>
      <c r="I576" s="33">
        <v>4532757.88</v>
      </c>
      <c r="L576" s="33">
        <v>-4836.32</v>
      </c>
      <c r="N576" s="33">
        <v>4537594.2</v>
      </c>
      <c r="O576" s="33">
        <v>1455234.28</v>
      </c>
      <c r="P576" s="33">
        <v>3082359.92</v>
      </c>
      <c r="Q576" s="33">
        <v>-2.1595292485899491E-13</v>
      </c>
    </row>
    <row r="577" spans="1:23" x14ac:dyDescent="0.2">
      <c r="A577" s="32">
        <v>26</v>
      </c>
      <c r="B577" s="32" t="s">
        <v>2229</v>
      </c>
      <c r="D577" s="33">
        <v>-886.52</v>
      </c>
      <c r="F577" s="33">
        <v>-767.27434829426568</v>
      </c>
      <c r="H577" s="33">
        <v>-45.059744844972002</v>
      </c>
      <c r="I577" s="33">
        <v>-74.185906860762316</v>
      </c>
      <c r="L577" s="33">
        <v>-6.7840627589539305E-3</v>
      </c>
      <c r="N577" s="33">
        <v>-74.179122798003363</v>
      </c>
      <c r="O577" s="33">
        <v>-23.145768405816746</v>
      </c>
      <c r="P577" s="33">
        <v>-51.033354392186617</v>
      </c>
      <c r="Q577" s="33">
        <v>0</v>
      </c>
    </row>
    <row r="578" spans="1:23" x14ac:dyDescent="0.2">
      <c r="A578" s="32">
        <v>27</v>
      </c>
      <c r="B578" s="32" t="s">
        <v>2230</v>
      </c>
      <c r="D578" s="33">
        <v>-44239.442779999998</v>
      </c>
      <c r="F578" s="33">
        <v>0</v>
      </c>
      <c r="H578" s="33">
        <v>-2627.5584491273084</v>
      </c>
      <c r="I578" s="33">
        <v>0</v>
      </c>
      <c r="L578" s="33">
        <v>0</v>
      </c>
      <c r="N578" s="33">
        <v>0</v>
      </c>
      <c r="O578" s="33">
        <v>0</v>
      </c>
      <c r="P578" s="33">
        <v>0</v>
      </c>
      <c r="Q578" s="33">
        <v>0</v>
      </c>
    </row>
    <row r="579" spans="1:23" x14ac:dyDescent="0.2">
      <c r="A579" s="32">
        <v>28</v>
      </c>
      <c r="B579" s="32" t="s">
        <v>2231</v>
      </c>
      <c r="D579" s="33">
        <v>734837.09506999992</v>
      </c>
      <c r="F579" s="33">
        <v>0</v>
      </c>
      <c r="H579" s="33">
        <v>20131.95930772278</v>
      </c>
      <c r="I579" s="33">
        <v>0</v>
      </c>
      <c r="L579" s="33">
        <v>0</v>
      </c>
      <c r="N579" s="33">
        <v>0</v>
      </c>
      <c r="O579" s="33">
        <v>0</v>
      </c>
      <c r="P579" s="33">
        <v>0</v>
      </c>
      <c r="Q579" s="33">
        <v>0</v>
      </c>
    </row>
    <row r="580" spans="1:23" x14ac:dyDescent="0.2">
      <c r="A580" s="32">
        <v>29</v>
      </c>
      <c r="B580" s="32" t="s">
        <v>2232</v>
      </c>
      <c r="D580" s="33">
        <v>1373106</v>
      </c>
      <c r="F580" s="33">
        <v>0</v>
      </c>
      <c r="H580" s="33">
        <v>1719.4505384607828</v>
      </c>
      <c r="I580" s="33">
        <v>0</v>
      </c>
      <c r="L580" s="33">
        <v>0</v>
      </c>
      <c r="N580" s="33">
        <v>0</v>
      </c>
      <c r="O580" s="33">
        <v>0</v>
      </c>
      <c r="P580" s="33">
        <v>0</v>
      </c>
      <c r="Q580" s="33">
        <v>0</v>
      </c>
    </row>
    <row r="581" spans="1:23" x14ac:dyDescent="0.2">
      <c r="A581" s="32">
        <v>30</v>
      </c>
      <c r="B581" s="32" t="s">
        <v>1345</v>
      </c>
      <c r="D581" s="33">
        <v>2934108.65</v>
      </c>
      <c r="F581" s="33">
        <v>2542421.2187266927</v>
      </c>
      <c r="H581" s="33">
        <v>147970.42271558015</v>
      </c>
      <c r="I581" s="33">
        <v>243717.00855772704</v>
      </c>
      <c r="L581" s="33">
        <v>22.274729384982912</v>
      </c>
      <c r="N581" s="33">
        <v>243694.73382834205</v>
      </c>
      <c r="O581" s="33">
        <v>76079.552451402837</v>
      </c>
      <c r="P581" s="33">
        <v>167615.1813769392</v>
      </c>
      <c r="Q581" s="33">
        <v>0</v>
      </c>
    </row>
    <row r="582" spans="1:23" x14ac:dyDescent="0.2">
      <c r="A582" s="32">
        <v>31</v>
      </c>
      <c r="B582" s="32" t="s">
        <v>1346</v>
      </c>
      <c r="D582" s="33">
        <v>1299744322.3522899</v>
      </c>
      <c r="F582" s="33">
        <v>1139327996.0526218</v>
      </c>
      <c r="H582" s="33">
        <v>65416996.710881166</v>
      </c>
      <c r="I582" s="33">
        <v>92910326.568727314</v>
      </c>
      <c r="L582" s="33">
        <v>13632.357935451146</v>
      </c>
      <c r="N582" s="33">
        <v>92896694.210791856</v>
      </c>
      <c r="O582" s="33">
        <v>30057706.554503523</v>
      </c>
      <c r="P582" s="33">
        <v>62838987.656288333</v>
      </c>
      <c r="Q582" s="33">
        <v>5.188655289092674E-12</v>
      </c>
    </row>
    <row r="583" spans="1:23" x14ac:dyDescent="0.2">
      <c r="F583" s="33"/>
      <c r="T583" s="33" t="s">
        <v>2233</v>
      </c>
    </row>
    <row r="584" spans="1:23" x14ac:dyDescent="0.2">
      <c r="A584" s="32">
        <v>32</v>
      </c>
      <c r="B584" s="32" t="s">
        <v>1347</v>
      </c>
      <c r="D584" s="33">
        <v>222291634.38771009</v>
      </c>
      <c r="F584" s="33">
        <v>202748923.51282859</v>
      </c>
      <c r="H584" s="33">
        <v>10399562.639157884</v>
      </c>
      <c r="I584" s="33">
        <v>11232151.25578321</v>
      </c>
      <c r="L584" s="33">
        <v>-6969.2761043136124</v>
      </c>
      <c r="N584" s="33">
        <v>11239120.531887524</v>
      </c>
      <c r="O584" s="33">
        <v>3596735.4962059706</v>
      </c>
      <c r="P584" s="33">
        <v>7642385.0356815532</v>
      </c>
      <c r="Q584" s="33">
        <v>-5.188655289092674E-12</v>
      </c>
      <c r="T584" s="33">
        <v>224355338.11999989</v>
      </c>
      <c r="W584" s="32">
        <v>-7.9999774694442749E-2</v>
      </c>
    </row>
    <row r="585" spans="1:23" x14ac:dyDescent="0.2">
      <c r="A585" s="32">
        <v>33</v>
      </c>
      <c r="B585" s="32" t="s">
        <v>1348</v>
      </c>
      <c r="D585" s="33">
        <v>5.5891099441305277E-2</v>
      </c>
      <c r="F585" s="33">
        <v>5.7106326001415277E-2</v>
      </c>
      <c r="H585" s="33">
        <v>4.8026001004709794E-2</v>
      </c>
      <c r="I585" s="33">
        <v>3.8841899407701108E-2</v>
      </c>
      <c r="L585" s="33">
        <v>-0.18415222334440329</v>
      </c>
      <c r="N585" s="33">
        <v>3.8871087013870077E-2</v>
      </c>
      <c r="O585" s="33">
        <v>3.916712529122951E-2</v>
      </c>
      <c r="P585" s="33">
        <v>3.8733305700177204E-2</v>
      </c>
      <c r="Q585" s="33">
        <v>-0.81714099136849638</v>
      </c>
    </row>
    <row r="586" spans="1:23" x14ac:dyDescent="0.2">
      <c r="F586" s="33"/>
    </row>
    <row r="587" spans="1:23" x14ac:dyDescent="0.2">
      <c r="F587" s="33"/>
    </row>
    <row r="588" spans="1:23" x14ac:dyDescent="0.2">
      <c r="F588" s="33"/>
    </row>
    <row r="589" spans="1:23" x14ac:dyDescent="0.2">
      <c r="F589" s="33"/>
    </row>
    <row r="590" spans="1:23" x14ac:dyDescent="0.2">
      <c r="B590" s="32" t="s">
        <v>1349</v>
      </c>
      <c r="F590" s="33"/>
    </row>
    <row r="591" spans="1:23" x14ac:dyDescent="0.2">
      <c r="F591" s="33"/>
    </row>
    <row r="592" spans="1:23" x14ac:dyDescent="0.2">
      <c r="B592" s="32" t="s">
        <v>1350</v>
      </c>
      <c r="F592" s="33"/>
    </row>
    <row r="593" spans="1:23" x14ac:dyDescent="0.2">
      <c r="A593" s="32">
        <v>1</v>
      </c>
      <c r="B593" s="32" t="s">
        <v>2502</v>
      </c>
      <c r="C593" s="32" t="s">
        <v>1840</v>
      </c>
      <c r="D593" s="33">
        <v>44455.58</v>
      </c>
      <c r="F593" s="33">
        <v>38707.20384349145</v>
      </c>
      <c r="H593" s="33">
        <v>2640.4184492252903</v>
      </c>
      <c r="I593" s="33">
        <v>3107.957707283264</v>
      </c>
      <c r="L593" s="33">
        <v>1.401789247742923</v>
      </c>
      <c r="N593" s="33">
        <v>3106.5559180355212</v>
      </c>
      <c r="O593" s="33">
        <v>986.36626332576793</v>
      </c>
      <c r="P593" s="33">
        <v>2120.1896547097531</v>
      </c>
      <c r="Q593" s="33">
        <v>6.0589746878764566E-17</v>
      </c>
      <c r="T593" s="33">
        <v>44455.58</v>
      </c>
    </row>
    <row r="594" spans="1:23" x14ac:dyDescent="0.2">
      <c r="A594" s="32">
        <v>2</v>
      </c>
      <c r="B594" s="32" t="s">
        <v>2503</v>
      </c>
      <c r="C594" s="32" t="s">
        <v>1842</v>
      </c>
      <c r="D594" s="33">
        <v>55918.829999999994</v>
      </c>
      <c r="F594" s="33">
        <v>55918.829999999994</v>
      </c>
      <c r="H594" s="33">
        <v>0</v>
      </c>
      <c r="I594" s="33">
        <v>0</v>
      </c>
      <c r="L594" s="33">
        <v>0</v>
      </c>
      <c r="N594" s="33">
        <v>0</v>
      </c>
      <c r="O594" s="33">
        <v>0</v>
      </c>
      <c r="P594" s="33">
        <v>0</v>
      </c>
      <c r="Q594" s="33">
        <v>0</v>
      </c>
      <c r="T594" s="33">
        <v>55918.829999999994</v>
      </c>
    </row>
    <row r="595" spans="1:23" x14ac:dyDescent="0.2">
      <c r="A595" s="32">
        <v>3</v>
      </c>
      <c r="B595" s="32" t="s">
        <v>2504</v>
      </c>
      <c r="C595" s="32" t="s">
        <v>1840</v>
      </c>
      <c r="D595" s="33">
        <v>60103758.670000002</v>
      </c>
      <c r="F595" s="33">
        <v>52331978.0913826</v>
      </c>
      <c r="H595" s="33">
        <v>3569834.7262605163</v>
      </c>
      <c r="I595" s="33">
        <v>4201945.8523568874</v>
      </c>
      <c r="L595" s="33">
        <v>1895.2132140114129</v>
      </c>
      <c r="N595" s="33">
        <v>4200050.6391428756</v>
      </c>
      <c r="O595" s="33">
        <v>1333563.072423341</v>
      </c>
      <c r="P595" s="33">
        <v>2866487.5667195348</v>
      </c>
      <c r="Q595" s="33">
        <v>8.1917084970607769E-14</v>
      </c>
      <c r="T595" s="33">
        <v>60103758.670000002</v>
      </c>
    </row>
    <row r="596" spans="1:23" x14ac:dyDescent="0.2">
      <c r="A596" s="32">
        <v>4</v>
      </c>
      <c r="B596" s="32" t="s">
        <v>1351</v>
      </c>
      <c r="D596" s="33">
        <v>60204133.080000013</v>
      </c>
      <c r="F596" s="33">
        <v>52426604.125226095</v>
      </c>
      <c r="H596" s="33">
        <v>3572475.1447097417</v>
      </c>
      <c r="I596" s="33">
        <v>4205053.8100641705</v>
      </c>
      <c r="L596" s="33">
        <v>1896.6150032591559</v>
      </c>
      <c r="N596" s="33">
        <v>4203157.1950609116</v>
      </c>
      <c r="O596" s="33">
        <v>1334549.4386866668</v>
      </c>
      <c r="P596" s="33">
        <v>2868607.7563742446</v>
      </c>
      <c r="Q596" s="33">
        <v>8.1977674717486535E-14</v>
      </c>
      <c r="U596" s="32" t="s">
        <v>721</v>
      </c>
    </row>
    <row r="597" spans="1:23" x14ac:dyDescent="0.2">
      <c r="F597" s="33"/>
    </row>
    <row r="598" spans="1:23" x14ac:dyDescent="0.2">
      <c r="B598" s="32" t="s">
        <v>1352</v>
      </c>
      <c r="F598" s="33"/>
    </row>
    <row r="599" spans="1:23" x14ac:dyDescent="0.2">
      <c r="B599" s="32" t="s">
        <v>2505</v>
      </c>
      <c r="F599" s="33"/>
    </row>
    <row r="600" spans="1:23" x14ac:dyDescent="0.2">
      <c r="A600" s="32">
        <v>5</v>
      </c>
      <c r="B600" s="32" t="s">
        <v>2506</v>
      </c>
      <c r="C600" s="32" t="s">
        <v>1674</v>
      </c>
      <c r="D600" s="33">
        <v>10881103.859999999</v>
      </c>
      <c r="F600" s="33">
        <v>9417488.4637726378</v>
      </c>
      <c r="H600" s="33">
        <v>553061.14195194689</v>
      </c>
      <c r="I600" s="33">
        <v>910554.25427541544</v>
      </c>
      <c r="L600" s="33">
        <v>83.267260155366884</v>
      </c>
      <c r="N600" s="33">
        <v>910470.98701526003</v>
      </c>
      <c r="O600" s="33">
        <v>284090.0486657928</v>
      </c>
      <c r="P600" s="33">
        <v>626380.93834946724</v>
      </c>
      <c r="Q600" s="33">
        <v>0</v>
      </c>
      <c r="T600" s="33">
        <v>10881103.859999999</v>
      </c>
    </row>
    <row r="601" spans="1:23" x14ac:dyDescent="0.2">
      <c r="A601" s="32">
        <v>6</v>
      </c>
      <c r="B601" s="32" t="s">
        <v>2507</v>
      </c>
      <c r="C601" s="32" t="s">
        <v>1674</v>
      </c>
      <c r="D601" s="33">
        <v>331497470.49000001</v>
      </c>
      <c r="F601" s="33">
        <v>286907803.13068211</v>
      </c>
      <c r="H601" s="33">
        <v>16849243.600858454</v>
      </c>
      <c r="I601" s="33">
        <v>27740423.758459419</v>
      </c>
      <c r="L601" s="33">
        <v>2536.7725987441213</v>
      </c>
      <c r="N601" s="33">
        <v>27737886.985860676</v>
      </c>
      <c r="O601" s="33">
        <v>8654924.5127866399</v>
      </c>
      <c r="P601" s="33">
        <v>19082962.473074038</v>
      </c>
      <c r="Q601" s="33">
        <v>0</v>
      </c>
      <c r="T601" s="33">
        <v>331497470.49000001</v>
      </c>
      <c r="W601" s="32">
        <v>3555684.42</v>
      </c>
    </row>
    <row r="602" spans="1:23" x14ac:dyDescent="0.2">
      <c r="A602" s="32">
        <v>7</v>
      </c>
      <c r="B602" s="32" t="s">
        <v>2508</v>
      </c>
      <c r="C602" s="32" t="s">
        <v>1674</v>
      </c>
      <c r="D602" s="33">
        <v>2633157904.7700009</v>
      </c>
      <c r="F602" s="33">
        <v>2278972290.910861</v>
      </c>
      <c r="H602" s="33">
        <v>133837277.58590592</v>
      </c>
      <c r="I602" s="33">
        <v>220348336.27323392</v>
      </c>
      <c r="L602" s="33">
        <v>20150.147182460998</v>
      </c>
      <c r="N602" s="33">
        <v>220328186.12605146</v>
      </c>
      <c r="O602" s="33">
        <v>68747984.297874957</v>
      </c>
      <c r="P602" s="33">
        <v>151580201.8281765</v>
      </c>
      <c r="Q602" s="33">
        <v>0</v>
      </c>
      <c r="T602" s="33">
        <v>2633157904.7700009</v>
      </c>
      <c r="W602" s="32">
        <v>28394345.370000001</v>
      </c>
    </row>
    <row r="603" spans="1:23" x14ac:dyDescent="0.2">
      <c r="A603" s="32">
        <v>8</v>
      </c>
      <c r="B603" s="32" t="s">
        <v>2509</v>
      </c>
      <c r="C603" s="32" t="s">
        <v>1674</v>
      </c>
      <c r="D603" s="33">
        <v>316044024.84999985</v>
      </c>
      <c r="F603" s="33">
        <v>273532997.78807062</v>
      </c>
      <c r="H603" s="33">
        <v>16063780.98578598</v>
      </c>
      <c r="I603" s="33">
        <v>26447246.076143283</v>
      </c>
      <c r="L603" s="33">
        <v>2418.515655794336</v>
      </c>
      <c r="N603" s="33">
        <v>26444827.56048749</v>
      </c>
      <c r="O603" s="33">
        <v>8251457.1642154614</v>
      </c>
      <c r="P603" s="33">
        <v>18193370.39627203</v>
      </c>
      <c r="Q603" s="33">
        <v>0</v>
      </c>
      <c r="T603" s="33">
        <v>316044024.8499999</v>
      </c>
      <c r="W603" s="32">
        <v>4176304.8499999996</v>
      </c>
    </row>
    <row r="604" spans="1:23" x14ac:dyDescent="0.2">
      <c r="A604" s="32">
        <v>9</v>
      </c>
      <c r="B604" s="32" t="s">
        <v>2510</v>
      </c>
      <c r="C604" s="32" t="s">
        <v>1674</v>
      </c>
      <c r="D604" s="33">
        <v>209742018.53999999</v>
      </c>
      <c r="F604" s="33">
        <v>181529655.9414365</v>
      </c>
      <c r="H604" s="33">
        <v>10660697.828229241</v>
      </c>
      <c r="I604" s="33">
        <v>17551664.770334255</v>
      </c>
      <c r="L604" s="33">
        <v>1605.0433345723038</v>
      </c>
      <c r="N604" s="33">
        <v>17550059.726999681</v>
      </c>
      <c r="O604" s="33">
        <v>5476063.9197032917</v>
      </c>
      <c r="P604" s="33">
        <v>12073995.80729639</v>
      </c>
      <c r="Q604" s="33">
        <v>0</v>
      </c>
      <c r="T604" s="33">
        <v>209742018.53999999</v>
      </c>
      <c r="W604" s="32">
        <v>2887662.88</v>
      </c>
    </row>
    <row r="605" spans="1:23" x14ac:dyDescent="0.2">
      <c r="A605" s="32">
        <v>10</v>
      </c>
      <c r="B605" s="32" t="s">
        <v>2511</v>
      </c>
      <c r="C605" s="32" t="s">
        <v>1674</v>
      </c>
      <c r="D605" s="33">
        <v>30545307.669999998</v>
      </c>
      <c r="F605" s="33">
        <v>26436663.623998422</v>
      </c>
      <c r="H605" s="33">
        <v>1552546.7782129745</v>
      </c>
      <c r="I605" s="33">
        <v>2556097.2677885988</v>
      </c>
      <c r="L605" s="33">
        <v>233.74688018864418</v>
      </c>
      <c r="N605" s="33">
        <v>2555863.5209084102</v>
      </c>
      <c r="O605" s="33">
        <v>797494.26658647065</v>
      </c>
      <c r="P605" s="33">
        <v>1758369.2543219395</v>
      </c>
      <c r="Q605" s="33">
        <v>0</v>
      </c>
      <c r="T605" s="33">
        <v>30545307.669999998</v>
      </c>
      <c r="W605" s="32">
        <v>261883.53</v>
      </c>
    </row>
    <row r="606" spans="1:23" x14ac:dyDescent="0.2">
      <c r="A606" s="32">
        <v>11</v>
      </c>
      <c r="B606" s="32" t="s">
        <v>2512</v>
      </c>
      <c r="C606" s="32" t="s">
        <v>1674</v>
      </c>
      <c r="D606" s="33">
        <v>56489771.460000001</v>
      </c>
      <c r="F606" s="33">
        <v>48891342.081694163</v>
      </c>
      <c r="H606" s="33">
        <v>2871243.3880097251</v>
      </c>
      <c r="I606" s="33">
        <v>4727185.9902961124</v>
      </c>
      <c r="L606" s="33">
        <v>432.28596627668253</v>
      </c>
      <c r="N606" s="33">
        <v>4726753.7043298353</v>
      </c>
      <c r="O606" s="33">
        <v>1474867.0842289815</v>
      </c>
      <c r="P606" s="33">
        <v>3251886.620100854</v>
      </c>
      <c r="Q606" s="33">
        <v>0</v>
      </c>
      <c r="T606" s="33">
        <v>56489771.460000001</v>
      </c>
      <c r="W606" s="32">
        <v>39275881.050000004</v>
      </c>
    </row>
    <row r="607" spans="1:23" x14ac:dyDescent="0.2">
      <c r="A607" s="32">
        <v>12</v>
      </c>
      <c r="B607" s="32" t="s">
        <v>2513</v>
      </c>
      <c r="C607" s="32" t="s">
        <v>1676</v>
      </c>
      <c r="D607" s="33">
        <v>17109215.93</v>
      </c>
      <c r="F607" s="33">
        <v>0</v>
      </c>
      <c r="H607" s="33">
        <v>6465483.27355529</v>
      </c>
      <c r="I607" s="33">
        <v>10643732.65644471</v>
      </c>
      <c r="L607" s="33">
        <v>0</v>
      </c>
      <c r="N607" s="33">
        <v>10643732.65644471</v>
      </c>
      <c r="O607" s="33">
        <v>3321114.6444849707</v>
      </c>
      <c r="P607" s="33">
        <v>7322618.011959739</v>
      </c>
      <c r="Q607" s="33">
        <v>0</v>
      </c>
      <c r="T607" s="33">
        <v>17109215.93</v>
      </c>
    </row>
    <row r="608" spans="1:23" x14ac:dyDescent="0.2">
      <c r="A608" s="32">
        <v>13</v>
      </c>
      <c r="B608" s="32" t="s">
        <v>2514</v>
      </c>
      <c r="C608" s="32" t="s">
        <v>1682</v>
      </c>
      <c r="D608" s="33">
        <v>22166665.119999997</v>
      </c>
      <c r="F608" s="33">
        <v>0</v>
      </c>
      <c r="H608" s="33">
        <v>0</v>
      </c>
      <c r="I608" s="33">
        <v>22166665.119999997</v>
      </c>
      <c r="L608" s="33">
        <v>0</v>
      </c>
      <c r="N608" s="33">
        <v>22166665.119999997</v>
      </c>
      <c r="O608" s="33">
        <v>6916561.9360846076</v>
      </c>
      <c r="P608" s="33">
        <v>15250103.183915388</v>
      </c>
      <c r="Q608" s="33">
        <v>0</v>
      </c>
      <c r="T608" s="33">
        <v>22166665.119999997</v>
      </c>
    </row>
    <row r="609" spans="1:23" x14ac:dyDescent="0.2">
      <c r="A609" s="32">
        <v>14</v>
      </c>
      <c r="B609" s="32" t="s">
        <v>1769</v>
      </c>
      <c r="D609" s="33">
        <v>3627633482.6900005</v>
      </c>
      <c r="F609" s="33">
        <v>3105688241.9405155</v>
      </c>
      <c r="H609" s="33">
        <v>188853334.58250955</v>
      </c>
      <c r="I609" s="33">
        <v>333091906.16697574</v>
      </c>
      <c r="L609" s="33">
        <v>27459.77887819245</v>
      </c>
      <c r="N609" s="33">
        <v>333064446.38809752</v>
      </c>
      <c r="O609" s="33">
        <v>103924557.87463117</v>
      </c>
      <c r="P609" s="33">
        <v>229139888.51346633</v>
      </c>
      <c r="Q609" s="33">
        <v>0</v>
      </c>
      <c r="T609" s="33">
        <v>3627633482.6900005</v>
      </c>
      <c r="U609" s="32" t="s">
        <v>721</v>
      </c>
      <c r="V609" s="32" t="s">
        <v>721</v>
      </c>
      <c r="W609" s="32" t="s">
        <v>1355</v>
      </c>
    </row>
    <row r="610" spans="1:23" x14ac:dyDescent="0.2">
      <c r="F610" s="33"/>
    </row>
    <row r="611" spans="1:23" x14ac:dyDescent="0.2">
      <c r="B611" s="32" t="s">
        <v>2515</v>
      </c>
      <c r="F611" s="33"/>
    </row>
    <row r="612" spans="1:23" x14ac:dyDescent="0.2">
      <c r="A612" s="32">
        <v>15</v>
      </c>
      <c r="B612" s="32" t="s">
        <v>2516</v>
      </c>
      <c r="C612" s="32" t="s">
        <v>1674</v>
      </c>
      <c r="D612" s="33">
        <v>879311.46999999986</v>
      </c>
      <c r="F612" s="33">
        <v>761035.43641646288</v>
      </c>
      <c r="H612" s="33">
        <v>44693.35207040704</v>
      </c>
      <c r="I612" s="33">
        <v>73582.681513129981</v>
      </c>
      <c r="L612" s="33">
        <v>6.7288997395975683</v>
      </c>
      <c r="N612" s="33">
        <v>73575.952613390386</v>
      </c>
      <c r="O612" s="33">
        <v>22957.564004419844</v>
      </c>
      <c r="P612" s="33">
        <v>50618.388608970541</v>
      </c>
      <c r="Q612" s="33">
        <v>0</v>
      </c>
      <c r="T612" s="33">
        <v>879311.47</v>
      </c>
    </row>
    <row r="613" spans="1:23" x14ac:dyDescent="0.2">
      <c r="A613" s="32">
        <v>16</v>
      </c>
      <c r="B613" s="32" t="s">
        <v>2517</v>
      </c>
      <c r="C613" s="32" t="s">
        <v>1674</v>
      </c>
      <c r="D613" s="33">
        <v>616526.69000000018</v>
      </c>
      <c r="F613" s="33">
        <v>533597.79167505621</v>
      </c>
      <c r="H613" s="33">
        <v>31336.614336411083</v>
      </c>
      <c r="I613" s="33">
        <v>51592.283988532792</v>
      </c>
      <c r="L613" s="33">
        <v>4.7179485601341593</v>
      </c>
      <c r="N613" s="33">
        <v>51587.566039972655</v>
      </c>
      <c r="O613" s="33">
        <v>16096.629498200578</v>
      </c>
      <c r="P613" s="33">
        <v>35490.936541772076</v>
      </c>
      <c r="Q613" s="33">
        <v>0</v>
      </c>
      <c r="T613" s="33">
        <v>616526.69000000006</v>
      </c>
    </row>
    <row r="614" spans="1:23" x14ac:dyDescent="0.2">
      <c r="A614" s="32">
        <v>17</v>
      </c>
      <c r="B614" s="32" t="s">
        <v>2518</v>
      </c>
      <c r="C614" s="32" t="s">
        <v>1674</v>
      </c>
      <c r="D614" s="33">
        <v>21558917.790000007</v>
      </c>
      <c r="F614" s="33">
        <v>18659031.490831457</v>
      </c>
      <c r="H614" s="33">
        <v>1095789.5306943192</v>
      </c>
      <c r="I614" s="33">
        <v>1804096.7684742273</v>
      </c>
      <c r="L614" s="33">
        <v>164.97885135415828</v>
      </c>
      <c r="N614" s="33">
        <v>1803931.7896228731</v>
      </c>
      <c r="O614" s="33">
        <v>562872.48820938356</v>
      </c>
      <c r="P614" s="33">
        <v>1241059.3014134895</v>
      </c>
      <c r="Q614" s="33">
        <v>0</v>
      </c>
      <c r="T614" s="33">
        <v>21558917.790000003</v>
      </c>
      <c r="W614" s="32">
        <v>42952.32</v>
      </c>
    </row>
    <row r="615" spans="1:23" x14ac:dyDescent="0.2">
      <c r="A615" s="32">
        <v>18</v>
      </c>
      <c r="B615" s="32" t="s">
        <v>2519</v>
      </c>
      <c r="C615" s="32" t="s">
        <v>1674</v>
      </c>
      <c r="D615" s="33">
        <v>4533221.9000000004</v>
      </c>
      <c r="F615" s="33">
        <v>3923459.0071242531</v>
      </c>
      <c r="H615" s="33">
        <v>230413.10082078149</v>
      </c>
      <c r="I615" s="33">
        <v>379349.79205496545</v>
      </c>
      <c r="L615" s="33">
        <v>34.69031930454404</v>
      </c>
      <c r="N615" s="33">
        <v>379315.10173566092</v>
      </c>
      <c r="O615" s="33">
        <v>118355.93582725327</v>
      </c>
      <c r="P615" s="33">
        <v>260959.16590840768</v>
      </c>
      <c r="Q615" s="33">
        <v>0</v>
      </c>
      <c r="T615" s="33">
        <v>4533221.9000000004</v>
      </c>
      <c r="W615" s="32">
        <v>16214.220000000001</v>
      </c>
    </row>
    <row r="616" spans="1:23" x14ac:dyDescent="0.2">
      <c r="A616" s="32">
        <v>19</v>
      </c>
      <c r="B616" s="32" t="s">
        <v>2520</v>
      </c>
      <c r="C616" s="32" t="s">
        <v>1674</v>
      </c>
      <c r="D616" s="33">
        <v>578333.27999999991</v>
      </c>
      <c r="F616" s="33">
        <v>500541.77064125455</v>
      </c>
      <c r="H616" s="33">
        <v>29395.332346879648</v>
      </c>
      <c r="I616" s="33">
        <v>48396.177011865686</v>
      </c>
      <c r="L616" s="33">
        <v>4.4256748489731477</v>
      </c>
      <c r="N616" s="33">
        <v>48391.751337016714</v>
      </c>
      <c r="O616" s="33">
        <v>15099.454225800173</v>
      </c>
      <c r="P616" s="33">
        <v>33292.29711121654</v>
      </c>
      <c r="Q616" s="33">
        <v>0</v>
      </c>
      <c r="T616" s="33">
        <v>578333.27999999991</v>
      </c>
      <c r="W616" s="32">
        <v>0</v>
      </c>
    </row>
    <row r="617" spans="1:23" x14ac:dyDescent="0.2">
      <c r="A617" s="32">
        <v>20</v>
      </c>
      <c r="B617" s="32" t="s">
        <v>2521</v>
      </c>
      <c r="C617" s="32" t="s">
        <v>1674</v>
      </c>
      <c r="D617" s="33">
        <v>296203.86</v>
      </c>
      <c r="F617" s="33">
        <v>256361.53007686898</v>
      </c>
      <c r="H617" s="33">
        <v>15055.351660081902</v>
      </c>
      <c r="I617" s="33">
        <v>24786.978263049092</v>
      </c>
      <c r="L617" s="33">
        <v>2.2666895001628879</v>
      </c>
      <c r="N617" s="33">
        <v>24784.711573548928</v>
      </c>
      <c r="O617" s="33">
        <v>7733.4588553771673</v>
      </c>
      <c r="P617" s="33">
        <v>17051.25271817176</v>
      </c>
      <c r="Q617" s="33">
        <v>0</v>
      </c>
      <c r="T617" s="33">
        <v>296203.86</v>
      </c>
      <c r="W617" s="32">
        <v>820</v>
      </c>
    </row>
    <row r="618" spans="1:23" x14ac:dyDescent="0.2">
      <c r="A618" s="32">
        <v>21</v>
      </c>
      <c r="B618" s="32" t="s">
        <v>2522</v>
      </c>
      <c r="C618" s="32" t="s">
        <v>1674</v>
      </c>
      <c r="D618" s="33">
        <v>176359.59</v>
      </c>
      <c r="F618" s="33">
        <v>152637.49208443565</v>
      </c>
      <c r="H618" s="33">
        <v>8963.9468104091011</v>
      </c>
      <c r="I618" s="33">
        <v>14758.151105155246</v>
      </c>
      <c r="L618" s="33">
        <v>1.349585487866471</v>
      </c>
      <c r="N618" s="33">
        <v>14756.80151966738</v>
      </c>
      <c r="O618" s="33">
        <v>4604.496487710142</v>
      </c>
      <c r="P618" s="33">
        <v>10152.305031957238</v>
      </c>
      <c r="Q618" s="33">
        <v>0</v>
      </c>
      <c r="T618" s="33">
        <v>176359.59</v>
      </c>
      <c r="W618" s="32">
        <v>0</v>
      </c>
    </row>
    <row r="619" spans="1:23" x14ac:dyDescent="0.2">
      <c r="A619" s="32">
        <v>22</v>
      </c>
      <c r="B619" s="32" t="s">
        <v>2523</v>
      </c>
      <c r="C619" s="32" t="s">
        <v>1674</v>
      </c>
      <c r="D619" s="33">
        <v>57608.88</v>
      </c>
      <c r="F619" s="33">
        <v>49859.919525743979</v>
      </c>
      <c r="H619" s="33">
        <v>2928.1250661063605</v>
      </c>
      <c r="I619" s="33">
        <v>4820.8354081496554</v>
      </c>
      <c r="L619" s="33">
        <v>0.44084990456283657</v>
      </c>
      <c r="N619" s="33">
        <v>4820.3945582450924</v>
      </c>
      <c r="O619" s="33">
        <v>1504.0854065317062</v>
      </c>
      <c r="P619" s="33">
        <v>3316.3091517133867</v>
      </c>
      <c r="Q619" s="33">
        <v>0</v>
      </c>
      <c r="T619" s="33">
        <v>57608.88</v>
      </c>
    </row>
    <row r="620" spans="1:23" x14ac:dyDescent="0.2">
      <c r="A620" s="32">
        <v>23</v>
      </c>
      <c r="B620" s="32" t="s">
        <v>2513</v>
      </c>
      <c r="C620" s="32" t="s">
        <v>1676</v>
      </c>
      <c r="D620" s="33">
        <v>820</v>
      </c>
      <c r="F620" s="33">
        <v>0</v>
      </c>
      <c r="H620" s="33">
        <v>309.87371402678519</v>
      </c>
      <c r="I620" s="33">
        <v>510.12628597321481</v>
      </c>
      <c r="L620" s="33">
        <v>0</v>
      </c>
      <c r="N620" s="33">
        <v>510.12628597321481</v>
      </c>
      <c r="O620" s="33">
        <v>159.1723442862455</v>
      </c>
      <c r="P620" s="33">
        <v>350.9539416869693</v>
      </c>
      <c r="Q620" s="33">
        <v>0</v>
      </c>
      <c r="T620" s="33">
        <v>820</v>
      </c>
    </row>
    <row r="621" spans="1:23" x14ac:dyDescent="0.2">
      <c r="A621" s="32">
        <v>24</v>
      </c>
      <c r="B621" s="32" t="s">
        <v>2514</v>
      </c>
      <c r="C621" s="32" t="s">
        <v>1682</v>
      </c>
      <c r="D621" s="33">
        <v>59166.54</v>
      </c>
      <c r="F621" s="33">
        <v>0</v>
      </c>
      <c r="H621" s="33">
        <v>0</v>
      </c>
      <c r="I621" s="33">
        <v>59166.54</v>
      </c>
      <c r="L621" s="33">
        <v>0</v>
      </c>
      <c r="N621" s="33">
        <v>59166.54</v>
      </c>
      <c r="O621" s="33">
        <v>18461.461669513752</v>
      </c>
      <c r="P621" s="33">
        <v>40705.078330486249</v>
      </c>
      <c r="Q621" s="33">
        <v>0</v>
      </c>
      <c r="T621" s="33">
        <v>59166.54</v>
      </c>
    </row>
    <row r="622" spans="1:23" x14ac:dyDescent="0.2">
      <c r="A622" s="32">
        <v>25</v>
      </c>
      <c r="B622" s="32" t="s">
        <v>1356</v>
      </c>
      <c r="D622" s="33">
        <v>28756470.000000004</v>
      </c>
      <c r="F622" s="33">
        <v>24836524.438375533</v>
      </c>
      <c r="H622" s="33">
        <v>1458885.2275194228</v>
      </c>
      <c r="I622" s="33">
        <v>2461060.3341050483</v>
      </c>
      <c r="L622" s="33">
        <v>219.59881869999941</v>
      </c>
      <c r="N622" s="33">
        <v>2460840.7352863485</v>
      </c>
      <c r="O622" s="33">
        <v>767844.74652847636</v>
      </c>
      <c r="P622" s="33">
        <v>1692995.988757872</v>
      </c>
      <c r="Q622" s="33">
        <v>0</v>
      </c>
      <c r="T622" s="33">
        <v>28756470.000000004</v>
      </c>
      <c r="U622" s="32" t="s">
        <v>721</v>
      </c>
      <c r="V622" s="32" t="s">
        <v>721</v>
      </c>
      <c r="W622" s="32" t="s">
        <v>1357</v>
      </c>
    </row>
    <row r="623" spans="1:23" x14ac:dyDescent="0.2">
      <c r="F623" s="33"/>
    </row>
    <row r="624" spans="1:23" x14ac:dyDescent="0.2">
      <c r="B624" s="32" t="s">
        <v>2524</v>
      </c>
      <c r="F624" s="33"/>
    </row>
    <row r="625" spans="1:23" x14ac:dyDescent="0.2">
      <c r="A625" s="32">
        <v>26</v>
      </c>
      <c r="B625" s="32" t="s">
        <v>2525</v>
      </c>
      <c r="C625" s="32" t="s">
        <v>1674</v>
      </c>
      <c r="D625" s="33">
        <v>294923.71999999997</v>
      </c>
      <c r="F625" s="33">
        <v>255253.58148662237</v>
      </c>
      <c r="H625" s="33">
        <v>14990.285128288098</v>
      </c>
      <c r="I625" s="33">
        <v>24679.8533850895</v>
      </c>
      <c r="L625" s="33">
        <v>2.2568932743583408</v>
      </c>
      <c r="N625" s="33">
        <v>24677.59649181514</v>
      </c>
      <c r="O625" s="33">
        <v>7700.036232123296</v>
      </c>
      <c r="P625" s="33">
        <v>16977.560259691843</v>
      </c>
      <c r="Q625" s="33">
        <v>0</v>
      </c>
      <c r="T625" s="33">
        <v>294923.71999999997</v>
      </c>
    </row>
    <row r="626" spans="1:23" x14ac:dyDescent="0.2">
      <c r="A626" s="32">
        <v>27</v>
      </c>
      <c r="B626" s="32" t="s">
        <v>2526</v>
      </c>
      <c r="C626" s="32" t="s">
        <v>1674</v>
      </c>
      <c r="D626" s="33">
        <v>35819882.469999999</v>
      </c>
      <c r="F626" s="33">
        <v>31001756.280903354</v>
      </c>
      <c r="H626" s="33">
        <v>1820641.1186155817</v>
      </c>
      <c r="I626" s="33">
        <v>2997485.0704810638</v>
      </c>
      <c r="L626" s="33">
        <v>274.11037618421886</v>
      </c>
      <c r="N626" s="33">
        <v>2997210.9601048795</v>
      </c>
      <c r="O626" s="33">
        <v>935205.86560280097</v>
      </c>
      <c r="P626" s="33">
        <v>2062005.0945020786</v>
      </c>
      <c r="Q626" s="33">
        <v>0</v>
      </c>
      <c r="T626" s="33">
        <v>35819882.469999999</v>
      </c>
      <c r="W626" s="32">
        <v>198530.74</v>
      </c>
    </row>
    <row r="627" spans="1:23" x14ac:dyDescent="0.2">
      <c r="A627" s="32">
        <v>28</v>
      </c>
      <c r="B627" s="32" t="s">
        <v>2527</v>
      </c>
      <c r="C627" s="32" t="s">
        <v>1674</v>
      </c>
      <c r="D627" s="33">
        <v>22685927.640000001</v>
      </c>
      <c r="F627" s="33">
        <v>19634447.441041227</v>
      </c>
      <c r="H627" s="33">
        <v>1153072.8139578328</v>
      </c>
      <c r="I627" s="33">
        <v>1898407.3850009402</v>
      </c>
      <c r="L627" s="33">
        <v>173.60325413397061</v>
      </c>
      <c r="N627" s="33">
        <v>1898233.7817468061</v>
      </c>
      <c r="O627" s="33">
        <v>592297.10240779328</v>
      </c>
      <c r="P627" s="33">
        <v>1305936.6793390128</v>
      </c>
      <c r="Q627" s="33">
        <v>0</v>
      </c>
      <c r="T627" s="33">
        <v>22685927.640000001</v>
      </c>
      <c r="W627" s="32">
        <v>61889.27</v>
      </c>
    </row>
    <row r="628" spans="1:23" x14ac:dyDescent="0.2">
      <c r="A628" s="32">
        <v>29</v>
      </c>
      <c r="B628" s="32" t="s">
        <v>2528</v>
      </c>
      <c r="C628" s="32" t="s">
        <v>1674</v>
      </c>
      <c r="D628" s="33">
        <v>363401097.91000003</v>
      </c>
      <c r="F628" s="33">
        <v>314520079.15029091</v>
      </c>
      <c r="H628" s="33">
        <v>18470830.605296314</v>
      </c>
      <c r="I628" s="33">
        <v>30410188.154412791</v>
      </c>
      <c r="L628" s="33">
        <v>2780.9139724926704</v>
      </c>
      <c r="N628" s="33">
        <v>30407407.240440298</v>
      </c>
      <c r="O628" s="33">
        <v>9487882.5640080273</v>
      </c>
      <c r="P628" s="33">
        <v>20919524.676432271</v>
      </c>
      <c r="Q628" s="33">
        <v>0</v>
      </c>
      <c r="T628" s="33">
        <v>363401097.91000003</v>
      </c>
      <c r="W628" s="32">
        <v>1366002.71</v>
      </c>
    </row>
    <row r="629" spans="1:23" x14ac:dyDescent="0.2">
      <c r="A629" s="32">
        <v>30</v>
      </c>
      <c r="B629" s="32" t="s">
        <v>2529</v>
      </c>
      <c r="C629" s="32" t="s">
        <v>1674</v>
      </c>
      <c r="D629" s="33">
        <v>59091568.579999998</v>
      </c>
      <c r="F629" s="33">
        <v>51143171.921564549</v>
      </c>
      <c r="H629" s="33">
        <v>3003486.6700175568</v>
      </c>
      <c r="I629" s="33">
        <v>4944909.9884178909</v>
      </c>
      <c r="L629" s="33">
        <v>452.19612616946057</v>
      </c>
      <c r="N629" s="33">
        <v>4944457.7922917213</v>
      </c>
      <c r="O629" s="33">
        <v>1542796.2833203059</v>
      </c>
      <c r="P629" s="33">
        <v>3401661.5089714159</v>
      </c>
      <c r="Q629" s="33">
        <v>0</v>
      </c>
      <c r="T629" s="33">
        <v>59091568.579999998</v>
      </c>
      <c r="W629" s="32">
        <v>269192.56</v>
      </c>
    </row>
    <row r="630" spans="1:23" x14ac:dyDescent="0.2">
      <c r="A630" s="32">
        <v>31</v>
      </c>
      <c r="B630" s="32" t="s">
        <v>2530</v>
      </c>
      <c r="C630" s="32" t="s">
        <v>1674</v>
      </c>
      <c r="D630" s="33">
        <v>44623313.05999998</v>
      </c>
      <c r="F630" s="33">
        <v>38621038.946490191</v>
      </c>
      <c r="H630" s="33">
        <v>2268098.9719587895</v>
      </c>
      <c r="I630" s="33">
        <v>3734175.1415510061</v>
      </c>
      <c r="L630" s="33">
        <v>341.47831556139562</v>
      </c>
      <c r="N630" s="33">
        <v>3733833.6632354446</v>
      </c>
      <c r="O630" s="33">
        <v>1165050.8387707188</v>
      </c>
      <c r="P630" s="33">
        <v>2568782.8244647258</v>
      </c>
      <c r="Q630" s="33">
        <v>0</v>
      </c>
      <c r="T630" s="33">
        <v>44623313.059999987</v>
      </c>
      <c r="W630" s="32">
        <v>184790.76</v>
      </c>
    </row>
    <row r="631" spans="1:23" x14ac:dyDescent="0.2">
      <c r="A631" s="32">
        <v>32</v>
      </c>
      <c r="B631" s="32" t="s">
        <v>2531</v>
      </c>
      <c r="C631" s="32" t="s">
        <v>1674</v>
      </c>
      <c r="D631" s="33">
        <v>5356925.4699999988</v>
      </c>
      <c r="F631" s="33">
        <v>4636366.3525416255</v>
      </c>
      <c r="H631" s="33">
        <v>272280.03297357267</v>
      </c>
      <c r="I631" s="33">
        <v>448279.08448480046</v>
      </c>
      <c r="L631" s="33">
        <v>40.993681567836902</v>
      </c>
      <c r="N631" s="33">
        <v>448238.09080323263</v>
      </c>
      <c r="O631" s="33">
        <v>139861.65714912355</v>
      </c>
      <c r="P631" s="33">
        <v>308376.43365410907</v>
      </c>
      <c r="Q631" s="33">
        <v>0</v>
      </c>
      <c r="T631" s="33">
        <v>5356925.4699999988</v>
      </c>
      <c r="W631" s="32">
        <v>11309.279999999999</v>
      </c>
    </row>
    <row r="632" spans="1:23" x14ac:dyDescent="0.2">
      <c r="A632" s="32">
        <v>33</v>
      </c>
      <c r="B632" s="32" t="s">
        <v>2532</v>
      </c>
      <c r="C632" s="32" t="s">
        <v>1674</v>
      </c>
      <c r="D632" s="33">
        <v>17790.809999999998</v>
      </c>
      <c r="F632" s="33">
        <v>15397.771227244848</v>
      </c>
      <c r="H632" s="33">
        <v>904.26539636486064</v>
      </c>
      <c r="I632" s="33">
        <v>1488.7733763902886</v>
      </c>
      <c r="L632" s="33">
        <v>0.13614354055478178</v>
      </c>
      <c r="N632" s="33">
        <v>1488.6372328497339</v>
      </c>
      <c r="O632" s="33">
        <v>464.49258675708228</v>
      </c>
      <c r="P632" s="33">
        <v>1024.1446460926516</v>
      </c>
      <c r="Q632" s="33">
        <v>0</v>
      </c>
      <c r="T632" s="33">
        <v>17790.809999999998</v>
      </c>
      <c r="W632" s="32">
        <v>2091715.32</v>
      </c>
    </row>
    <row r="633" spans="1:23" x14ac:dyDescent="0.2">
      <c r="A633" s="32">
        <v>34</v>
      </c>
      <c r="B633" s="32" t="s">
        <v>2513</v>
      </c>
      <c r="C633" s="32" t="s">
        <v>1676</v>
      </c>
      <c r="D633" s="33">
        <v>2004.8500000000001</v>
      </c>
      <c r="F633" s="33">
        <v>0</v>
      </c>
      <c r="H633" s="33">
        <v>757.62233605682968</v>
      </c>
      <c r="I633" s="33">
        <v>1247.2276639431705</v>
      </c>
      <c r="L633" s="33">
        <v>0</v>
      </c>
      <c r="N633" s="33">
        <v>1247.2276639431705</v>
      </c>
      <c r="O633" s="33">
        <v>389.16667614912109</v>
      </c>
      <c r="P633" s="33">
        <v>858.06098779404931</v>
      </c>
      <c r="Q633" s="33">
        <v>0</v>
      </c>
      <c r="T633" s="33">
        <v>2004.8500000000001</v>
      </c>
    </row>
    <row r="634" spans="1:23" x14ac:dyDescent="0.2">
      <c r="A634" s="32">
        <v>35</v>
      </c>
      <c r="B634" s="32" t="s">
        <v>2514</v>
      </c>
      <c r="C634" s="32" t="s">
        <v>1682</v>
      </c>
      <c r="D634" s="33">
        <v>2089710.4699999997</v>
      </c>
      <c r="F634" s="33">
        <v>0</v>
      </c>
      <c r="H634" s="33">
        <v>0</v>
      </c>
      <c r="I634" s="33">
        <v>2089710.4699999997</v>
      </c>
      <c r="L634" s="33">
        <v>0</v>
      </c>
      <c r="N634" s="33">
        <v>2089710.4699999997</v>
      </c>
      <c r="O634" s="33">
        <v>652042.68734130077</v>
      </c>
      <c r="P634" s="33">
        <v>1437667.782658699</v>
      </c>
      <c r="Q634" s="33">
        <v>0</v>
      </c>
      <c r="T634" s="33">
        <v>2089710.4699999997</v>
      </c>
    </row>
    <row r="635" spans="1:23" x14ac:dyDescent="0.2">
      <c r="A635" s="32">
        <v>36</v>
      </c>
      <c r="B635" s="32" t="s">
        <v>1358</v>
      </c>
      <c r="D635" s="33">
        <v>533383144.98000002</v>
      </c>
      <c r="F635" s="33">
        <v>459827511.44554573</v>
      </c>
      <c r="H635" s="33">
        <v>27005062.385680355</v>
      </c>
      <c r="I635" s="33">
        <v>46550571.148773916</v>
      </c>
      <c r="L635" s="33">
        <v>4065.6887629244661</v>
      </c>
      <c r="N635" s="33">
        <v>46546505.460010991</v>
      </c>
      <c r="O635" s="33">
        <v>14523690.694095101</v>
      </c>
      <c r="P635" s="33">
        <v>32022814.765915893</v>
      </c>
      <c r="Q635" s="33">
        <v>0</v>
      </c>
      <c r="T635" s="33">
        <v>533383144.98000002</v>
      </c>
      <c r="U635" s="32" t="s">
        <v>721</v>
      </c>
      <c r="V635" s="32" t="s">
        <v>721</v>
      </c>
      <c r="W635" s="32" t="s">
        <v>1359</v>
      </c>
    </row>
    <row r="636" spans="1:23" x14ac:dyDescent="0.2">
      <c r="F636" s="33"/>
    </row>
    <row r="637" spans="1:23" x14ac:dyDescent="0.2">
      <c r="A637" s="32">
        <v>37</v>
      </c>
      <c r="B637" s="32" t="s">
        <v>1201</v>
      </c>
      <c r="D637" s="33">
        <v>4189773097.6700006</v>
      </c>
      <c r="F637" s="33">
        <v>3590352277.8244367</v>
      </c>
      <c r="H637" s="33">
        <v>217317282.19570932</v>
      </c>
      <c r="I637" s="33">
        <v>382103537.64985466</v>
      </c>
      <c r="L637" s="33">
        <v>31745.066459816917</v>
      </c>
      <c r="N637" s="33">
        <v>382071792.58339483</v>
      </c>
      <c r="O637" s="33">
        <v>119216093.31525475</v>
      </c>
      <c r="P637" s="33">
        <v>262855699.26814008</v>
      </c>
      <c r="Q637" s="33">
        <v>0</v>
      </c>
    </row>
    <row r="638" spans="1:23" x14ac:dyDescent="0.2">
      <c r="F638" s="33"/>
    </row>
    <row r="639" spans="1:23" x14ac:dyDescent="0.2">
      <c r="B639" s="32" t="s">
        <v>1366</v>
      </c>
      <c r="F639" s="33"/>
    </row>
    <row r="640" spans="1:23" x14ac:dyDescent="0.2">
      <c r="F640" s="33"/>
    </row>
    <row r="641" spans="1:23" x14ac:dyDescent="0.2">
      <c r="B641" s="32" t="s">
        <v>1360</v>
      </c>
      <c r="F641" s="33"/>
    </row>
    <row r="642" spans="1:23" x14ac:dyDescent="0.2">
      <c r="B642" s="32" t="s">
        <v>2014</v>
      </c>
      <c r="F642" s="33"/>
      <c r="R642" s="32" t="s">
        <v>1361</v>
      </c>
      <c r="W642" s="32" t="s">
        <v>2533</v>
      </c>
    </row>
    <row r="643" spans="1:23" x14ac:dyDescent="0.2">
      <c r="A643" s="32">
        <v>1</v>
      </c>
      <c r="B643" s="32" t="s">
        <v>2534</v>
      </c>
      <c r="C643" s="32" t="s">
        <v>1687</v>
      </c>
      <c r="D643" s="33">
        <v>23367025.390000001</v>
      </c>
      <c r="F643" s="33">
        <v>20223930.850615676</v>
      </c>
      <c r="H643" s="33">
        <v>1187691.424738734</v>
      </c>
      <c r="I643" s="33">
        <v>1955403.1146455898</v>
      </c>
      <c r="L643" s="33">
        <v>178.81533043341372</v>
      </c>
      <c r="N643" s="33">
        <v>1955224.2993151564</v>
      </c>
      <c r="O643" s="33">
        <v>610079.58986800048</v>
      </c>
      <c r="P643" s="33">
        <v>1345144.7094471559</v>
      </c>
      <c r="Q643" s="33">
        <v>0</v>
      </c>
      <c r="T643" s="33">
        <v>23367025.390000001</v>
      </c>
      <c r="W643" s="32">
        <v>82596.86</v>
      </c>
    </row>
    <row r="644" spans="1:23" x14ac:dyDescent="0.2">
      <c r="A644" s="32">
        <v>2</v>
      </c>
      <c r="B644" s="32" t="s">
        <v>2535</v>
      </c>
      <c r="C644" s="32" t="s">
        <v>1687</v>
      </c>
      <c r="D644" s="33">
        <v>16662947.760000004</v>
      </c>
      <c r="F644" s="33">
        <v>14421617.541866396</v>
      </c>
      <c r="H644" s="33">
        <v>846938.7881048345</v>
      </c>
      <c r="I644" s="33">
        <v>1394391.4300287736</v>
      </c>
      <c r="L644" s="33">
        <v>127.51261489082123</v>
      </c>
      <c r="N644" s="33">
        <v>1394263.9174138827</v>
      </c>
      <c r="O644" s="33">
        <v>435045.71787571971</v>
      </c>
      <c r="P644" s="33">
        <v>959218.19953816303</v>
      </c>
      <c r="Q644" s="33">
        <v>0</v>
      </c>
      <c r="T644" s="33">
        <v>16662947.760000004</v>
      </c>
      <c r="W644" s="32">
        <v>113996.78</v>
      </c>
    </row>
    <row r="645" spans="1:23" x14ac:dyDescent="0.2">
      <c r="A645" s="32">
        <v>3</v>
      </c>
      <c r="B645" s="32" t="s">
        <v>2536</v>
      </c>
      <c r="C645" s="32" t="s">
        <v>1687</v>
      </c>
      <c r="D645" s="33">
        <v>189274083.45999998</v>
      </c>
      <c r="F645" s="33">
        <v>163814859.26517838</v>
      </c>
      <c r="H645" s="33">
        <v>9620360.4052627515</v>
      </c>
      <c r="I645" s="33">
        <v>15838863.78955885</v>
      </c>
      <c r="L645" s="33">
        <v>1448.413189590899</v>
      </c>
      <c r="N645" s="33">
        <v>15837415.37636926</v>
      </c>
      <c r="O645" s="33">
        <v>4941675.4286292354</v>
      </c>
      <c r="P645" s="33">
        <v>10895739.947740024</v>
      </c>
      <c r="Q645" s="33">
        <v>0</v>
      </c>
      <c r="T645" s="33">
        <v>189274083.45999998</v>
      </c>
      <c r="W645" s="32">
        <v>1160925.79</v>
      </c>
    </row>
    <row r="646" spans="1:23" x14ac:dyDescent="0.2">
      <c r="A646" s="32">
        <v>4</v>
      </c>
      <c r="B646" s="32" t="s">
        <v>2537</v>
      </c>
      <c r="C646" s="32" t="s">
        <v>1687</v>
      </c>
      <c r="D646" s="33">
        <v>86348154.789999992</v>
      </c>
      <c r="F646" s="33">
        <v>74733479.439730197</v>
      </c>
      <c r="H646" s="33">
        <v>4388875.4034556989</v>
      </c>
      <c r="I646" s="33">
        <v>7225799.9468140891</v>
      </c>
      <c r="L646" s="33">
        <v>660.77618239320987</v>
      </c>
      <c r="N646" s="33">
        <v>7225139.1706316955</v>
      </c>
      <c r="O646" s="33">
        <v>2254426.7394294045</v>
      </c>
      <c r="P646" s="33">
        <v>4970712.4312022915</v>
      </c>
      <c r="Q646" s="33">
        <v>0</v>
      </c>
      <c r="T646" s="33">
        <v>86348154.789999992</v>
      </c>
      <c r="W646" s="32">
        <v>1261093.07</v>
      </c>
    </row>
    <row r="647" spans="1:23" x14ac:dyDescent="0.2">
      <c r="A647" s="32">
        <v>5</v>
      </c>
      <c r="B647" s="32" t="s">
        <v>2538</v>
      </c>
      <c r="C647" s="32" t="s">
        <v>1687</v>
      </c>
      <c r="D647" s="33">
        <v>142592931.88000003</v>
      </c>
      <c r="F647" s="33">
        <v>123412781.30171417</v>
      </c>
      <c r="H647" s="33">
        <v>7247666.2987967273</v>
      </c>
      <c r="I647" s="33">
        <v>11932484.279489135</v>
      </c>
      <c r="L647" s="33">
        <v>1091.1873379699982</v>
      </c>
      <c r="N647" s="33">
        <v>11931393.092151165</v>
      </c>
      <c r="O647" s="33">
        <v>3722897.3712954973</v>
      </c>
      <c r="P647" s="33">
        <v>8208495.7208556673</v>
      </c>
      <c r="Q647" s="33">
        <v>0</v>
      </c>
      <c r="T647" s="33">
        <v>142592931.88000003</v>
      </c>
      <c r="W647" s="32">
        <v>635115.22</v>
      </c>
    </row>
    <row r="648" spans="1:23" x14ac:dyDescent="0.2">
      <c r="A648" s="32">
        <v>6</v>
      </c>
      <c r="B648" s="32" t="s">
        <v>2539</v>
      </c>
      <c r="C648" s="32" t="s">
        <v>1687</v>
      </c>
      <c r="D648" s="33">
        <v>150242446.98000002</v>
      </c>
      <c r="F648" s="33">
        <v>130033361.4500691</v>
      </c>
      <c r="H648" s="33">
        <v>7636473.3179206718</v>
      </c>
      <c r="I648" s="33">
        <v>12572612.21201022</v>
      </c>
      <c r="L648" s="33">
        <v>1149.7249801145247</v>
      </c>
      <c r="N648" s="33">
        <v>12571462.487030106</v>
      </c>
      <c r="O648" s="33">
        <v>3922615.2625121619</v>
      </c>
      <c r="P648" s="33">
        <v>8648847.2245179433</v>
      </c>
      <c r="Q648" s="33">
        <v>0</v>
      </c>
      <c r="T648" s="33">
        <v>150242446.97999999</v>
      </c>
      <c r="W648" s="32">
        <v>1324572.2000000002</v>
      </c>
    </row>
    <row r="649" spans="1:23" x14ac:dyDescent="0.2">
      <c r="A649" s="32">
        <v>7</v>
      </c>
      <c r="B649" s="32" t="s">
        <v>2540</v>
      </c>
      <c r="C649" s="32" t="s">
        <v>1687</v>
      </c>
      <c r="D649" s="33">
        <v>447363.25999999995</v>
      </c>
      <c r="F649" s="33">
        <v>387188.5053549814</v>
      </c>
      <c r="H649" s="33">
        <v>22738.431562305272</v>
      </c>
      <c r="I649" s="33">
        <v>37436.323082713301</v>
      </c>
      <c r="L649" s="33">
        <v>3.4234314306391558</v>
      </c>
      <c r="N649" s="33">
        <v>37432.899651282663</v>
      </c>
      <c r="O649" s="33">
        <v>11680.014448891377</v>
      </c>
      <c r="P649" s="33">
        <v>25752.885202391288</v>
      </c>
      <c r="Q649" s="33">
        <v>0</v>
      </c>
      <c r="T649" s="33">
        <v>447363.26</v>
      </c>
      <c r="W649" s="32">
        <v>1397</v>
      </c>
    </row>
    <row r="650" spans="1:23" x14ac:dyDescent="0.2">
      <c r="A650" s="32">
        <v>8</v>
      </c>
      <c r="B650" s="32" t="s">
        <v>2541</v>
      </c>
      <c r="C650" s="32" t="s">
        <v>1687</v>
      </c>
      <c r="D650" s="33">
        <v>1158210.29</v>
      </c>
      <c r="F650" s="33">
        <v>1002419.6244274946</v>
      </c>
      <c r="H650" s="33">
        <v>58869.128890742482</v>
      </c>
      <c r="I650" s="33">
        <v>96921.536681762969</v>
      </c>
      <c r="L650" s="33">
        <v>8.8631630368477108</v>
      </c>
      <c r="N650" s="33">
        <v>96912.673518726122</v>
      </c>
      <c r="O650" s="33">
        <v>30239.213032502204</v>
      </c>
      <c r="P650" s="33">
        <v>66673.460486223921</v>
      </c>
      <c r="Q650" s="33">
        <v>0</v>
      </c>
      <c r="T650" s="33">
        <v>1158210.29</v>
      </c>
      <c r="W650" s="32">
        <v>3339</v>
      </c>
    </row>
    <row r="651" spans="1:23" x14ac:dyDescent="0.2">
      <c r="A651" s="32">
        <v>9</v>
      </c>
      <c r="B651" s="32" t="s">
        <v>2542</v>
      </c>
      <c r="C651" s="32" t="s">
        <v>1687</v>
      </c>
      <c r="D651" s="33">
        <v>539999.49</v>
      </c>
      <c r="F651" s="33">
        <v>467364.2520969474</v>
      </c>
      <c r="H651" s="33">
        <v>27446.915169217853</v>
      </c>
      <c r="I651" s="33">
        <v>45188.322733834713</v>
      </c>
      <c r="L651" s="33">
        <v>4.1323268848566475</v>
      </c>
      <c r="N651" s="33">
        <v>45184.190406949856</v>
      </c>
      <c r="O651" s="33">
        <v>14098.613832512698</v>
      </c>
      <c r="P651" s="33">
        <v>31085.57657443716</v>
      </c>
      <c r="Q651" s="33">
        <v>0</v>
      </c>
      <c r="T651" s="33">
        <v>539999.49</v>
      </c>
    </row>
    <row r="652" spans="1:23" x14ac:dyDescent="0.2">
      <c r="A652" s="32">
        <v>10</v>
      </c>
      <c r="B652" s="32" t="s">
        <v>2513</v>
      </c>
      <c r="C652" s="32" t="s">
        <v>1691</v>
      </c>
      <c r="D652" s="33">
        <v>3160679.6300000004</v>
      </c>
      <c r="F652" s="33">
        <v>0</v>
      </c>
      <c r="H652" s="33">
        <v>1194404.3119474456</v>
      </c>
      <c r="I652" s="33">
        <v>1966275.3180525547</v>
      </c>
      <c r="L652" s="33">
        <v>0</v>
      </c>
      <c r="N652" s="33">
        <v>1966275.3180525547</v>
      </c>
      <c r="O652" s="33">
        <v>613527.78810351598</v>
      </c>
      <c r="P652" s="33">
        <v>1352747.5299490388</v>
      </c>
      <c r="Q652" s="33">
        <v>0</v>
      </c>
      <c r="T652" s="33">
        <v>3160679.6300000004</v>
      </c>
    </row>
    <row r="653" spans="1:23" x14ac:dyDescent="0.2">
      <c r="A653" s="32">
        <v>11</v>
      </c>
      <c r="B653" s="32" t="s">
        <v>2514</v>
      </c>
      <c r="C653" s="32" t="s">
        <v>1693</v>
      </c>
      <c r="D653" s="33">
        <v>1422356.29</v>
      </c>
      <c r="F653" s="33">
        <v>0</v>
      </c>
      <c r="H653" s="33">
        <v>0</v>
      </c>
      <c r="I653" s="33">
        <v>1422356.29</v>
      </c>
      <c r="L653" s="33">
        <v>0</v>
      </c>
      <c r="N653" s="33">
        <v>1422356.29</v>
      </c>
      <c r="O653" s="33">
        <v>443811.25088989129</v>
      </c>
      <c r="P653" s="33">
        <v>978545.03911010874</v>
      </c>
      <c r="Q653" s="33">
        <v>0</v>
      </c>
      <c r="T653" s="33">
        <v>1422356.29</v>
      </c>
    </row>
    <row r="654" spans="1:23" x14ac:dyDescent="0.2">
      <c r="A654" s="32">
        <v>12</v>
      </c>
      <c r="B654" s="32" t="s">
        <v>2543</v>
      </c>
      <c r="D654" s="33">
        <v>615216199.21999991</v>
      </c>
      <c r="F654" s="33">
        <v>528497002.23105335</v>
      </c>
      <c r="H654" s="33">
        <v>32231464.425849125</v>
      </c>
      <c r="I654" s="33">
        <v>54487732.563097522</v>
      </c>
      <c r="L654" s="33">
        <v>4672.8485567452108</v>
      </c>
      <c r="N654" s="33">
        <v>54483059.71454078</v>
      </c>
      <c r="O654" s="33">
        <v>17000096.98991733</v>
      </c>
      <c r="P654" s="33">
        <v>37482962.724623449</v>
      </c>
      <c r="Q654" s="33">
        <v>0</v>
      </c>
      <c r="U654" s="32" t="s">
        <v>721</v>
      </c>
    </row>
    <row r="655" spans="1:23" x14ac:dyDescent="0.2">
      <c r="F655" s="33"/>
    </row>
    <row r="656" spans="1:23" x14ac:dyDescent="0.2">
      <c r="B656" s="32" t="s">
        <v>2544</v>
      </c>
      <c r="F656" s="33"/>
      <c r="W656" s="32" t="s">
        <v>1364</v>
      </c>
    </row>
    <row r="657" spans="1:24" x14ac:dyDescent="0.2">
      <c r="A657" s="32">
        <v>13</v>
      </c>
      <c r="B657" s="32" t="s">
        <v>2534</v>
      </c>
      <c r="C657" s="32" t="s">
        <v>1689</v>
      </c>
      <c r="D657" s="33">
        <v>1883960.9700000002</v>
      </c>
      <c r="E657" s="33"/>
      <c r="F657" s="33">
        <v>0</v>
      </c>
      <c r="G657" s="33"/>
      <c r="H657" s="33">
        <v>1883960.9700000002</v>
      </c>
      <c r="I657" s="33">
        <v>0</v>
      </c>
      <c r="L657" s="33">
        <v>0</v>
      </c>
      <c r="N657" s="33">
        <v>0</v>
      </c>
      <c r="O657" s="33">
        <v>0</v>
      </c>
      <c r="P657" s="33">
        <v>0</v>
      </c>
      <c r="Q657" s="33">
        <v>0</v>
      </c>
      <c r="T657" s="33">
        <v>1883960.9700000002</v>
      </c>
      <c r="W657" s="32">
        <v>2164331.7200000002</v>
      </c>
    </row>
    <row r="658" spans="1:24" x14ac:dyDescent="0.2">
      <c r="A658" s="32">
        <v>14</v>
      </c>
      <c r="B658" s="32" t="s">
        <v>2535</v>
      </c>
      <c r="C658" s="32" t="s">
        <v>1689</v>
      </c>
      <c r="D658" s="33">
        <v>1447986.99</v>
      </c>
      <c r="F658" s="33">
        <v>0</v>
      </c>
      <c r="H658" s="33">
        <v>1447986.99</v>
      </c>
      <c r="I658" s="33">
        <v>0</v>
      </c>
      <c r="L658" s="33">
        <v>0</v>
      </c>
      <c r="N658" s="33">
        <v>0</v>
      </c>
      <c r="O658" s="33">
        <v>0</v>
      </c>
      <c r="P658" s="33">
        <v>0</v>
      </c>
      <c r="Q658" s="33">
        <v>0</v>
      </c>
      <c r="T658" s="33">
        <v>1447986.99</v>
      </c>
      <c r="W658" s="32">
        <v>1447986.99</v>
      </c>
      <c r="X658" s="32">
        <v>3</v>
      </c>
    </row>
    <row r="659" spans="1:24" x14ac:dyDescent="0.2">
      <c r="A659" s="32">
        <v>15</v>
      </c>
      <c r="B659" s="32" t="s">
        <v>2536</v>
      </c>
      <c r="C659" s="32" t="s">
        <v>1689</v>
      </c>
      <c r="D659" s="33">
        <v>17612494.049999997</v>
      </c>
      <c r="F659" s="33">
        <v>0</v>
      </c>
      <c r="H659" s="33">
        <v>17612494.049999997</v>
      </c>
      <c r="I659" s="33">
        <v>0</v>
      </c>
      <c r="L659" s="33">
        <v>0</v>
      </c>
      <c r="N659" s="33">
        <v>0</v>
      </c>
      <c r="O659" s="33">
        <v>0</v>
      </c>
      <c r="P659" s="33">
        <v>0</v>
      </c>
      <c r="Q659" s="33">
        <v>0</v>
      </c>
      <c r="T659" s="33">
        <v>17612494.049999997</v>
      </c>
      <c r="W659" s="32">
        <v>17612494.049999997</v>
      </c>
      <c r="X659" s="32">
        <v>1894.94</v>
      </c>
    </row>
    <row r="660" spans="1:24" x14ac:dyDescent="0.2">
      <c r="A660" s="32">
        <v>16</v>
      </c>
      <c r="B660" s="32" t="s">
        <v>2537</v>
      </c>
      <c r="C660" s="32" t="s">
        <v>1689</v>
      </c>
      <c r="D660" s="33">
        <v>2421964.2000000011</v>
      </c>
      <c r="F660" s="33">
        <v>0</v>
      </c>
      <c r="H660" s="33">
        <v>2421964.2000000011</v>
      </c>
      <c r="I660" s="33">
        <v>0</v>
      </c>
      <c r="L660" s="33">
        <v>0</v>
      </c>
      <c r="N660" s="33">
        <v>0</v>
      </c>
      <c r="O660" s="33">
        <v>0</v>
      </c>
      <c r="P660" s="33">
        <v>0</v>
      </c>
      <c r="Q660" s="33">
        <v>0</v>
      </c>
      <c r="T660" s="33">
        <v>2421964.2000000011</v>
      </c>
      <c r="W660" s="32">
        <v>7191287.0700000003</v>
      </c>
    </row>
    <row r="661" spans="1:24" x14ac:dyDescent="0.2">
      <c r="A661" s="32">
        <v>17</v>
      </c>
      <c r="B661" s="32" t="s">
        <v>2538</v>
      </c>
      <c r="C661" s="32" t="s">
        <v>1689</v>
      </c>
      <c r="D661" s="33">
        <v>8035932.8300000001</v>
      </c>
      <c r="F661" s="33">
        <v>0</v>
      </c>
      <c r="H661" s="33">
        <v>8035932.8300000001</v>
      </c>
      <c r="I661" s="33">
        <v>0</v>
      </c>
      <c r="L661" s="33">
        <v>0</v>
      </c>
      <c r="N661" s="33">
        <v>0</v>
      </c>
      <c r="O661" s="33">
        <v>0</v>
      </c>
      <c r="P661" s="33">
        <v>0</v>
      </c>
      <c r="Q661" s="33">
        <v>0</v>
      </c>
      <c r="T661" s="33">
        <v>8035932.8300000001</v>
      </c>
      <c r="W661" s="32">
        <v>8087290.8100000005</v>
      </c>
      <c r="X661" s="32">
        <v>693.3</v>
      </c>
    </row>
    <row r="662" spans="1:24" x14ac:dyDescent="0.2">
      <c r="A662" s="32">
        <v>18</v>
      </c>
      <c r="B662" s="32" t="s">
        <v>2539</v>
      </c>
      <c r="C662" s="32" t="s">
        <v>1689</v>
      </c>
      <c r="D662" s="33">
        <v>13092360.83</v>
      </c>
      <c r="F662" s="33">
        <v>0</v>
      </c>
      <c r="H662" s="33">
        <v>13092360.83</v>
      </c>
      <c r="I662" s="33">
        <v>0</v>
      </c>
      <c r="L662" s="33">
        <v>0</v>
      </c>
      <c r="N662" s="33">
        <v>0</v>
      </c>
      <c r="O662" s="33">
        <v>0</v>
      </c>
      <c r="P662" s="33">
        <v>0</v>
      </c>
      <c r="Q662" s="33">
        <v>0</v>
      </c>
      <c r="T662" s="33">
        <v>13092360.83</v>
      </c>
      <c r="W662" s="32">
        <v>16221738.640000001</v>
      </c>
      <c r="X662" s="32">
        <v>2064.61</v>
      </c>
    </row>
    <row r="663" spans="1:24" x14ac:dyDescent="0.2">
      <c r="A663" s="32">
        <v>19</v>
      </c>
      <c r="B663" s="32" t="s">
        <v>2513</v>
      </c>
      <c r="C663" s="32" t="s">
        <v>1691</v>
      </c>
      <c r="D663" s="33">
        <v>323.94</v>
      </c>
      <c r="F663" s="33">
        <v>0</v>
      </c>
      <c r="H663" s="33">
        <v>122.41523283150829</v>
      </c>
      <c r="I663" s="33">
        <v>201.52476716849171</v>
      </c>
      <c r="L663" s="33">
        <v>0</v>
      </c>
      <c r="N663" s="33">
        <v>201.52476716849171</v>
      </c>
      <c r="O663" s="33">
        <v>62.880840497666298</v>
      </c>
      <c r="P663" s="33">
        <v>138.64392667082541</v>
      </c>
      <c r="Q663" s="33">
        <v>0</v>
      </c>
      <c r="T663" s="33">
        <v>323.94</v>
      </c>
      <c r="W663" s="32">
        <v>323.94</v>
      </c>
      <c r="X663" s="32">
        <v>4655.8500000000004</v>
      </c>
    </row>
    <row r="664" spans="1:24" x14ac:dyDescent="0.2">
      <c r="A664" s="32">
        <v>20</v>
      </c>
      <c r="B664" s="32" t="s">
        <v>2514</v>
      </c>
      <c r="C664" s="32" t="s">
        <v>1693</v>
      </c>
      <c r="D664" s="33">
        <v>4331.91</v>
      </c>
      <c r="F664" s="33">
        <v>0</v>
      </c>
      <c r="H664" s="33">
        <v>0</v>
      </c>
      <c r="I664" s="33">
        <v>4331.91</v>
      </c>
      <c r="L664" s="33">
        <v>0</v>
      </c>
      <c r="N664" s="33">
        <v>4331.91</v>
      </c>
      <c r="O664" s="33">
        <v>1351.6658303964252</v>
      </c>
      <c r="P664" s="33">
        <v>2980.2441696035744</v>
      </c>
      <c r="Q664" s="33">
        <v>0</v>
      </c>
      <c r="T664" s="33">
        <v>4331.91</v>
      </c>
      <c r="W664" s="32">
        <v>4331.91</v>
      </c>
    </row>
    <row r="665" spans="1:24" x14ac:dyDescent="0.2">
      <c r="A665" s="32">
        <v>21</v>
      </c>
      <c r="B665" s="32" t="s">
        <v>2545</v>
      </c>
      <c r="D665" s="33">
        <v>44499355.719999999</v>
      </c>
      <c r="F665" s="33">
        <v>0</v>
      </c>
      <c r="H665" s="33">
        <v>44494822.285232827</v>
      </c>
      <c r="I665" s="33">
        <v>4533.4347671684909</v>
      </c>
      <c r="L665" s="33">
        <v>0</v>
      </c>
      <c r="N665" s="33">
        <v>4533.4347671684909</v>
      </c>
      <c r="O665" s="33">
        <v>1414.5466708940914</v>
      </c>
      <c r="P665" s="33">
        <v>3118.8880962743997</v>
      </c>
      <c r="Q665" s="33">
        <v>0</v>
      </c>
      <c r="U665" s="32" t="s">
        <v>721</v>
      </c>
    </row>
    <row r="666" spans="1:24" x14ac:dyDescent="0.2">
      <c r="F666" s="33"/>
    </row>
    <row r="667" spans="1:24" x14ac:dyDescent="0.2">
      <c r="B667" s="32" t="s">
        <v>2546</v>
      </c>
      <c r="F667" s="33"/>
    </row>
    <row r="668" spans="1:24" x14ac:dyDescent="0.2">
      <c r="A668" s="32">
        <v>22</v>
      </c>
      <c r="B668" s="32" t="s">
        <v>2534</v>
      </c>
      <c r="C668" s="32" t="s">
        <v>1684</v>
      </c>
      <c r="D668" s="33">
        <v>280370.75</v>
      </c>
      <c r="F668" s="33">
        <v>255652.34147320627</v>
      </c>
      <c r="H668" s="33">
        <v>0</v>
      </c>
      <c r="I668" s="33">
        <v>24718.408526793733</v>
      </c>
      <c r="L668" s="33">
        <v>2.2604190181561865</v>
      </c>
      <c r="N668" s="33">
        <v>24716.148107775578</v>
      </c>
      <c r="O668" s="33">
        <v>7712.065314445018</v>
      </c>
      <c r="P668" s="33">
        <v>17004.082793330559</v>
      </c>
      <c r="Q668" s="33">
        <v>0</v>
      </c>
      <c r="T668" s="33">
        <v>280370.75</v>
      </c>
    </row>
    <row r="669" spans="1:24" x14ac:dyDescent="0.2">
      <c r="A669" s="32">
        <v>23</v>
      </c>
      <c r="B669" s="32" t="s">
        <v>2537</v>
      </c>
      <c r="C669" s="32" t="s">
        <v>1684</v>
      </c>
      <c r="D669" s="33">
        <v>4769322.8699999992</v>
      </c>
      <c r="F669" s="33">
        <v>4348843.6613206333</v>
      </c>
      <c r="H669" s="33">
        <v>0</v>
      </c>
      <c r="I669" s="33">
        <v>420479.20867936598</v>
      </c>
      <c r="L669" s="33">
        <v>38.45147227046774</v>
      </c>
      <c r="N669" s="33">
        <v>420440.75720709551</v>
      </c>
      <c r="O669" s="33">
        <v>131188.18378563513</v>
      </c>
      <c r="P669" s="33">
        <v>289252.5734214604</v>
      </c>
      <c r="Q669" s="33">
        <v>0</v>
      </c>
      <c r="T669" s="33">
        <v>4769322.8699999992</v>
      </c>
    </row>
    <row r="670" spans="1:24" x14ac:dyDescent="0.2">
      <c r="A670" s="32">
        <v>24</v>
      </c>
      <c r="B670" s="32" t="s">
        <v>2538</v>
      </c>
      <c r="C670" s="32" t="s">
        <v>1684</v>
      </c>
      <c r="D670" s="33">
        <v>51357.979999999996</v>
      </c>
      <c r="F670" s="33">
        <v>46830.091371279268</v>
      </c>
      <c r="H670" s="33">
        <v>0</v>
      </c>
      <c r="I670" s="33">
        <v>4527.8886287207279</v>
      </c>
      <c r="L670" s="33">
        <v>0.41406086307535661</v>
      </c>
      <c r="N670" s="33">
        <v>4527.4745678576528</v>
      </c>
      <c r="O670" s="33">
        <v>1412.6869374853152</v>
      </c>
      <c r="P670" s="33">
        <v>3114.7876303723374</v>
      </c>
      <c r="Q670" s="33">
        <v>0</v>
      </c>
      <c r="T670" s="33">
        <v>51357.979999999996</v>
      </c>
    </row>
    <row r="671" spans="1:24" x14ac:dyDescent="0.2">
      <c r="A671" s="32">
        <v>25</v>
      </c>
      <c r="B671" s="32" t="s">
        <v>2539</v>
      </c>
      <c r="C671" s="32" t="s">
        <v>1684</v>
      </c>
      <c r="D671" s="33">
        <v>3129377.8099999996</v>
      </c>
      <c r="F671" s="33">
        <v>2853481.5578329563</v>
      </c>
      <c r="H671" s="33">
        <v>0</v>
      </c>
      <c r="I671" s="33">
        <v>275896.25216704345</v>
      </c>
      <c r="L671" s="33">
        <v>25.229825567467209</v>
      </c>
      <c r="N671" s="33">
        <v>275871.022341476</v>
      </c>
      <c r="O671" s="33">
        <v>86078.758445005093</v>
      </c>
      <c r="P671" s="33">
        <v>189792.26389647092</v>
      </c>
      <c r="Q671" s="33">
        <v>0</v>
      </c>
      <c r="T671" s="33">
        <v>3129377.81</v>
      </c>
    </row>
    <row r="672" spans="1:24" x14ac:dyDescent="0.2">
      <c r="A672" s="32">
        <v>26</v>
      </c>
      <c r="B672" s="32" t="s">
        <v>2513</v>
      </c>
      <c r="C672" s="32" t="s">
        <v>1691</v>
      </c>
      <c r="D672" s="33">
        <v>0</v>
      </c>
      <c r="F672" s="33">
        <v>0</v>
      </c>
      <c r="H672" s="33">
        <v>0</v>
      </c>
      <c r="I672" s="33">
        <v>0</v>
      </c>
      <c r="L672" s="33">
        <v>0</v>
      </c>
      <c r="N672" s="33">
        <v>0</v>
      </c>
      <c r="O672" s="33">
        <v>0</v>
      </c>
      <c r="P672" s="33">
        <v>0</v>
      </c>
      <c r="Q672" s="33">
        <v>0</v>
      </c>
      <c r="T672" s="33">
        <v>0</v>
      </c>
    </row>
    <row r="673" spans="1:21" x14ac:dyDescent="0.2">
      <c r="A673" s="32">
        <v>27</v>
      </c>
      <c r="B673" s="32" t="s">
        <v>2514</v>
      </c>
      <c r="C673" s="32" t="s">
        <v>1693</v>
      </c>
      <c r="D673" s="33">
        <v>0</v>
      </c>
      <c r="F673" s="33">
        <v>0</v>
      </c>
      <c r="H673" s="33">
        <v>0</v>
      </c>
      <c r="I673" s="33">
        <v>0</v>
      </c>
      <c r="L673" s="33">
        <v>0</v>
      </c>
      <c r="N673" s="33">
        <v>0</v>
      </c>
      <c r="O673" s="33">
        <v>0</v>
      </c>
      <c r="P673" s="33">
        <v>0</v>
      </c>
      <c r="Q673" s="33">
        <v>0</v>
      </c>
      <c r="T673" s="33">
        <v>0</v>
      </c>
    </row>
    <row r="674" spans="1:21" x14ac:dyDescent="0.2">
      <c r="A674" s="32">
        <v>28</v>
      </c>
      <c r="B674" s="32" t="s">
        <v>2547</v>
      </c>
      <c r="D674" s="33">
        <v>8230429.4099999983</v>
      </c>
      <c r="F674" s="33">
        <v>7504807.6519980747</v>
      </c>
      <c r="H674" s="33">
        <v>0</v>
      </c>
      <c r="I674" s="33">
        <v>725621.75800192391</v>
      </c>
      <c r="L674" s="33">
        <v>66.355777719166497</v>
      </c>
      <c r="N674" s="33">
        <v>725555.40222420474</v>
      </c>
      <c r="O674" s="33">
        <v>226391.69448257057</v>
      </c>
      <c r="P674" s="33">
        <v>499163.70774163422</v>
      </c>
      <c r="Q674" s="33">
        <v>0</v>
      </c>
      <c r="U674" s="32" t="s">
        <v>721</v>
      </c>
    </row>
    <row r="675" spans="1:21" x14ac:dyDescent="0.2">
      <c r="F675" s="33"/>
    </row>
    <row r="676" spans="1:21" x14ac:dyDescent="0.2">
      <c r="A676" s="32">
        <v>29</v>
      </c>
      <c r="B676" s="32" t="s">
        <v>1203</v>
      </c>
      <c r="D676" s="33">
        <v>667945984.35000002</v>
      </c>
      <c r="F676" s="33">
        <v>536001809.88305146</v>
      </c>
      <c r="H676" s="33">
        <v>76726286.711081952</v>
      </c>
      <c r="I676" s="33">
        <v>55217887.755866617</v>
      </c>
      <c r="L676" s="33">
        <v>4739.2043344643771</v>
      </c>
      <c r="N676" s="33">
        <v>55213148.551532149</v>
      </c>
      <c r="O676" s="33">
        <v>17227903.231070798</v>
      </c>
      <c r="P676" s="33">
        <v>37985245.320461355</v>
      </c>
      <c r="Q676" s="33">
        <v>0</v>
      </c>
      <c r="U676" s="32" t="s">
        <v>721</v>
      </c>
    </row>
    <row r="677" spans="1:21" x14ac:dyDescent="0.2">
      <c r="F677" s="33"/>
    </row>
    <row r="678" spans="1:21" x14ac:dyDescent="0.2">
      <c r="B678" s="32" t="s">
        <v>1366</v>
      </c>
      <c r="F678" s="33"/>
    </row>
    <row r="679" spans="1:21" x14ac:dyDescent="0.2">
      <c r="F679" s="33"/>
    </row>
    <row r="680" spans="1:21" x14ac:dyDescent="0.2">
      <c r="B680" s="32" t="s">
        <v>1367</v>
      </c>
      <c r="F680" s="33"/>
    </row>
    <row r="681" spans="1:21" x14ac:dyDescent="0.2">
      <c r="B681" s="32" t="s">
        <v>1368</v>
      </c>
      <c r="F681" s="33"/>
    </row>
    <row r="682" spans="1:21" x14ac:dyDescent="0.2">
      <c r="A682" s="32">
        <v>1</v>
      </c>
      <c r="B682" s="32" t="s">
        <v>2548</v>
      </c>
      <c r="C682" s="32" t="s">
        <v>2391</v>
      </c>
      <c r="D682" s="33">
        <v>5112550.1000000006</v>
      </c>
      <c r="F682" s="33">
        <v>5103392.1000000006</v>
      </c>
      <c r="H682" s="33">
        <v>0</v>
      </c>
      <c r="I682" s="33">
        <v>9158</v>
      </c>
      <c r="L682" s="33">
        <v>0</v>
      </c>
      <c r="N682" s="33">
        <v>9158</v>
      </c>
      <c r="O682" s="33">
        <v>9158</v>
      </c>
      <c r="P682" s="33">
        <v>0</v>
      </c>
      <c r="Q682" s="33">
        <v>0</v>
      </c>
      <c r="T682" s="33">
        <v>5112550.1000000006</v>
      </c>
    </row>
    <row r="683" spans="1:21" x14ac:dyDescent="0.2">
      <c r="A683" s="32">
        <v>2</v>
      </c>
      <c r="B683" s="32" t="s">
        <v>2549</v>
      </c>
      <c r="C683" s="32" t="s">
        <v>2393</v>
      </c>
      <c r="D683" s="33">
        <v>7214274.7599999998</v>
      </c>
      <c r="F683" s="33">
        <v>6940988.7599999998</v>
      </c>
      <c r="H683" s="33">
        <v>0</v>
      </c>
      <c r="I683" s="33">
        <v>273286</v>
      </c>
      <c r="L683" s="33">
        <v>0</v>
      </c>
      <c r="N683" s="33">
        <v>273286</v>
      </c>
      <c r="O683" s="33">
        <v>273286</v>
      </c>
      <c r="P683" s="33">
        <v>0</v>
      </c>
      <c r="Q683" s="33">
        <v>0</v>
      </c>
      <c r="T683" s="33">
        <v>7214274.7599999998</v>
      </c>
    </row>
    <row r="684" spans="1:21" x14ac:dyDescent="0.2">
      <c r="A684" s="32">
        <v>3</v>
      </c>
      <c r="B684" s="32" t="s">
        <v>2550</v>
      </c>
      <c r="C684" s="32" t="s">
        <v>2395</v>
      </c>
      <c r="D684" s="33">
        <v>137609925.59999999</v>
      </c>
      <c r="F684" s="33">
        <v>134408399.59999999</v>
      </c>
      <c r="H684" s="33">
        <v>0</v>
      </c>
      <c r="I684" s="33">
        <v>3201526</v>
      </c>
      <c r="L684" s="33">
        <v>0</v>
      </c>
      <c r="N684" s="33">
        <v>3201526</v>
      </c>
      <c r="O684" s="33">
        <v>3201526</v>
      </c>
      <c r="P684" s="33">
        <v>0</v>
      </c>
      <c r="Q684" s="33">
        <v>0</v>
      </c>
      <c r="T684" s="33">
        <v>137609925.59999999</v>
      </c>
    </row>
    <row r="685" spans="1:21" x14ac:dyDescent="0.2">
      <c r="A685" s="32">
        <v>4</v>
      </c>
      <c r="B685" s="32" t="s">
        <v>2551</v>
      </c>
      <c r="C685" s="32" t="s">
        <v>2397</v>
      </c>
      <c r="D685" s="33">
        <v>273798351.31999999</v>
      </c>
      <c r="F685" s="33">
        <v>273798351.31999999</v>
      </c>
      <c r="H685" s="33">
        <v>0</v>
      </c>
      <c r="I685" s="33">
        <v>0</v>
      </c>
      <c r="L685" s="33">
        <v>0</v>
      </c>
      <c r="N685" s="33">
        <v>0</v>
      </c>
      <c r="O685" s="33">
        <v>0</v>
      </c>
      <c r="P685" s="33">
        <v>0</v>
      </c>
      <c r="Q685" s="33">
        <v>0</v>
      </c>
      <c r="T685" s="33">
        <v>273798351.31999999</v>
      </c>
    </row>
    <row r="686" spans="1:21" x14ac:dyDescent="0.2">
      <c r="A686" s="32">
        <v>5</v>
      </c>
      <c r="B686" s="32" t="s">
        <v>2552</v>
      </c>
      <c r="C686" s="32" t="s">
        <v>2399</v>
      </c>
      <c r="D686" s="33">
        <v>263336953.54999995</v>
      </c>
      <c r="F686" s="33">
        <v>263336953.54999995</v>
      </c>
      <c r="H686" s="33">
        <v>0</v>
      </c>
      <c r="I686" s="33">
        <v>0</v>
      </c>
      <c r="L686" s="33">
        <v>0</v>
      </c>
      <c r="N686" s="33">
        <v>0</v>
      </c>
      <c r="O686" s="33">
        <v>0</v>
      </c>
      <c r="P686" s="33">
        <v>0</v>
      </c>
      <c r="Q686" s="33">
        <v>0</v>
      </c>
      <c r="T686" s="33">
        <v>263336953.54999995</v>
      </c>
    </row>
    <row r="687" spans="1:21" x14ac:dyDescent="0.2">
      <c r="A687" s="32">
        <v>6</v>
      </c>
      <c r="B687" s="32" t="s">
        <v>2553</v>
      </c>
      <c r="C687" s="32" t="s">
        <v>2401</v>
      </c>
      <c r="D687" s="33">
        <v>1831865.0699999998</v>
      </c>
      <c r="F687" s="33">
        <v>1831865.0699999998</v>
      </c>
      <c r="H687" s="33">
        <v>0</v>
      </c>
      <c r="I687" s="33">
        <v>0</v>
      </c>
      <c r="L687" s="33">
        <v>0</v>
      </c>
      <c r="N687" s="33">
        <v>0</v>
      </c>
      <c r="O687" s="33">
        <v>0</v>
      </c>
      <c r="P687" s="33">
        <v>0</v>
      </c>
      <c r="Q687" s="33">
        <v>0</v>
      </c>
      <c r="T687" s="33">
        <v>1831865.0699999998</v>
      </c>
    </row>
    <row r="688" spans="1:21" x14ac:dyDescent="0.2">
      <c r="A688" s="32">
        <v>7</v>
      </c>
      <c r="B688" s="32" t="s">
        <v>2554</v>
      </c>
      <c r="C688" s="32" t="s">
        <v>2403</v>
      </c>
      <c r="D688" s="33">
        <v>139509219.16</v>
      </c>
      <c r="F688" s="33">
        <v>139509219.16</v>
      </c>
      <c r="H688" s="33">
        <v>0</v>
      </c>
      <c r="I688" s="33">
        <v>0</v>
      </c>
      <c r="L688" s="33">
        <v>0</v>
      </c>
      <c r="N688" s="33">
        <v>0</v>
      </c>
      <c r="O688" s="33">
        <v>0</v>
      </c>
      <c r="P688" s="33">
        <v>0</v>
      </c>
      <c r="Q688" s="33">
        <v>0</v>
      </c>
      <c r="T688" s="33">
        <v>139509219.16</v>
      </c>
    </row>
    <row r="689" spans="1:27" x14ac:dyDescent="0.2">
      <c r="B689" s="32" t="s">
        <v>2555</v>
      </c>
      <c r="F689" s="33"/>
    </row>
    <row r="690" spans="1:27" x14ac:dyDescent="0.2">
      <c r="A690" s="32">
        <v>8</v>
      </c>
      <c r="B690" s="32" t="s">
        <v>1</v>
      </c>
      <c r="C690" s="32" t="s">
        <v>1680</v>
      </c>
      <c r="D690" s="33">
        <v>5932406.1000000006</v>
      </c>
      <c r="F690" s="33">
        <v>5409429.2561249696</v>
      </c>
      <c r="H690" s="33">
        <v>0</v>
      </c>
      <c r="I690" s="33">
        <v>522976.84387503075</v>
      </c>
      <c r="L690" s="33">
        <v>0</v>
      </c>
      <c r="N690" s="33">
        <v>522976.84387503075</v>
      </c>
      <c r="O690" s="33">
        <v>163182.04439945545</v>
      </c>
      <c r="P690" s="33">
        <v>359794.79947557527</v>
      </c>
      <c r="Q690" s="33">
        <v>0</v>
      </c>
      <c r="T690" s="33">
        <v>5932406.1000000006</v>
      </c>
      <c r="W690" s="32" t="s">
        <v>2</v>
      </c>
      <c r="AA690" s="32">
        <v>5932406.1000000006</v>
      </c>
    </row>
    <row r="691" spans="1:27" x14ac:dyDescent="0.2">
      <c r="A691" s="32">
        <v>9</v>
      </c>
      <c r="B691" s="32" t="s">
        <v>3</v>
      </c>
      <c r="C691" s="32" t="s">
        <v>1778</v>
      </c>
      <c r="D691" s="33">
        <v>267984931.00000003</v>
      </c>
      <c r="F691" s="33">
        <v>267984931.00000003</v>
      </c>
      <c r="H691" s="33">
        <v>0</v>
      </c>
      <c r="I691" s="33">
        <v>0</v>
      </c>
      <c r="L691" s="33">
        <v>0</v>
      </c>
      <c r="N691" s="33">
        <v>0</v>
      </c>
      <c r="O691" s="33">
        <v>0</v>
      </c>
      <c r="P691" s="33">
        <v>0</v>
      </c>
      <c r="Q691" s="33">
        <v>0</v>
      </c>
      <c r="T691" s="33">
        <v>267984931.00000003</v>
      </c>
    </row>
    <row r="692" spans="1:27" x14ac:dyDescent="0.2">
      <c r="A692" s="32">
        <v>10</v>
      </c>
      <c r="B692" s="32" t="s">
        <v>2556</v>
      </c>
      <c r="D692" s="33">
        <v>273917337.10000002</v>
      </c>
      <c r="F692" s="33">
        <v>273394360.25612497</v>
      </c>
      <c r="H692" s="33">
        <v>0</v>
      </c>
      <c r="I692" s="33">
        <v>522976.84387503075</v>
      </c>
      <c r="L692" s="33">
        <v>0</v>
      </c>
      <c r="N692" s="33">
        <v>522976.84387503075</v>
      </c>
      <c r="O692" s="33">
        <v>163182.04439945545</v>
      </c>
      <c r="P692" s="33">
        <v>359794.79947557527</v>
      </c>
      <c r="Q692" s="33">
        <v>0</v>
      </c>
      <c r="T692" s="33">
        <v>273917337.10000002</v>
      </c>
      <c r="U692" s="32" t="s">
        <v>721</v>
      </c>
    </row>
    <row r="693" spans="1:27" x14ac:dyDescent="0.2">
      <c r="A693" s="32">
        <v>11</v>
      </c>
      <c r="B693" s="32" t="s">
        <v>2557</v>
      </c>
      <c r="C693" s="32" t="s">
        <v>1801</v>
      </c>
      <c r="D693" s="33">
        <v>84507617.649999991</v>
      </c>
      <c r="F693" s="33">
        <v>84507617.649999991</v>
      </c>
      <c r="H693" s="33">
        <v>0</v>
      </c>
      <c r="I693" s="33">
        <v>0</v>
      </c>
      <c r="L693" s="33">
        <v>0</v>
      </c>
      <c r="N693" s="33">
        <v>0</v>
      </c>
      <c r="O693" s="33">
        <v>0</v>
      </c>
      <c r="P693" s="33">
        <v>0</v>
      </c>
      <c r="Q693" s="33">
        <v>0</v>
      </c>
      <c r="T693" s="33">
        <v>84507617.649999991</v>
      </c>
    </row>
    <row r="694" spans="1:27" x14ac:dyDescent="0.2">
      <c r="A694" s="32">
        <v>12</v>
      </c>
      <c r="B694" s="32" t="s">
        <v>2558</v>
      </c>
      <c r="C694" s="32" t="s">
        <v>1803</v>
      </c>
      <c r="D694" s="33">
        <v>67284794.690000013</v>
      </c>
      <c r="F694" s="33">
        <v>66969752.690000013</v>
      </c>
      <c r="H694" s="33">
        <v>0</v>
      </c>
      <c r="I694" s="33">
        <v>315042</v>
      </c>
      <c r="L694" s="33">
        <v>0</v>
      </c>
      <c r="N694" s="33">
        <v>315042</v>
      </c>
      <c r="O694" s="33">
        <v>66911</v>
      </c>
      <c r="P694" s="33">
        <v>248131</v>
      </c>
      <c r="Q694" s="33">
        <v>0</v>
      </c>
      <c r="T694" s="33">
        <v>67284794.690000013</v>
      </c>
    </row>
    <row r="695" spans="1:27" x14ac:dyDescent="0.2">
      <c r="A695" s="32">
        <v>13</v>
      </c>
      <c r="B695" s="32" t="s">
        <v>2559</v>
      </c>
      <c r="C695" s="32" t="s">
        <v>1805</v>
      </c>
      <c r="D695" s="33">
        <v>17384575.219999999</v>
      </c>
      <c r="F695" s="33">
        <v>17384575.219999999</v>
      </c>
      <c r="H695" s="33">
        <v>0</v>
      </c>
      <c r="I695" s="33">
        <v>0</v>
      </c>
      <c r="L695" s="33">
        <v>0</v>
      </c>
      <c r="N695" s="33">
        <v>0</v>
      </c>
      <c r="O695" s="33">
        <v>0</v>
      </c>
      <c r="P695" s="33">
        <v>0</v>
      </c>
      <c r="Q695" s="33">
        <v>0</v>
      </c>
      <c r="T695" s="33">
        <v>17384575.219999999</v>
      </c>
    </row>
    <row r="696" spans="1:27" x14ac:dyDescent="0.2">
      <c r="A696" s="32">
        <v>14</v>
      </c>
      <c r="B696" s="32" t="s">
        <v>2560</v>
      </c>
      <c r="C696" s="32" t="s">
        <v>1807</v>
      </c>
      <c r="D696" s="33">
        <v>80975589.62000002</v>
      </c>
      <c r="F696" s="33">
        <v>80975589.62000002</v>
      </c>
      <c r="H696" s="33">
        <v>0</v>
      </c>
      <c r="I696" s="33">
        <v>0</v>
      </c>
      <c r="L696" s="33">
        <v>0</v>
      </c>
      <c r="N696" s="33">
        <v>0</v>
      </c>
      <c r="O696" s="33">
        <v>0</v>
      </c>
      <c r="P696" s="33">
        <v>0</v>
      </c>
      <c r="Q696" s="33">
        <v>0</v>
      </c>
      <c r="T696" s="33">
        <v>80975589.62000002</v>
      </c>
    </row>
    <row r="697" spans="1:27" x14ac:dyDescent="0.2">
      <c r="A697" s="32">
        <v>15</v>
      </c>
      <c r="B697" s="32" t="s">
        <v>2274</v>
      </c>
      <c r="C697" s="32" t="s">
        <v>2275</v>
      </c>
      <c r="D697" s="33">
        <v>786954.55</v>
      </c>
      <c r="F697" s="33">
        <v>786954.55</v>
      </c>
      <c r="H697" s="33">
        <v>0</v>
      </c>
      <c r="I697" s="33">
        <v>0</v>
      </c>
      <c r="L697" s="33">
        <v>0</v>
      </c>
      <c r="N697" s="33">
        <v>0</v>
      </c>
      <c r="O697" s="33">
        <v>0</v>
      </c>
      <c r="P697" s="33">
        <v>0</v>
      </c>
      <c r="Q697" s="33">
        <v>0</v>
      </c>
      <c r="T697" s="33">
        <v>786954.55</v>
      </c>
    </row>
    <row r="698" spans="1:27" x14ac:dyDescent="0.2">
      <c r="A698" s="32">
        <v>16</v>
      </c>
      <c r="B698" s="32" t="s">
        <v>4</v>
      </c>
      <c r="D698" s="33">
        <v>1353270008.3899999</v>
      </c>
      <c r="F698" s="33">
        <v>1348948019.5461249</v>
      </c>
      <c r="H698" s="33">
        <v>0</v>
      </c>
      <c r="I698" s="33">
        <v>4321988.843875031</v>
      </c>
      <c r="L698" s="33">
        <v>0</v>
      </c>
      <c r="N698" s="33">
        <v>4321988.843875031</v>
      </c>
      <c r="O698" s="33">
        <v>3714063.0443994557</v>
      </c>
      <c r="P698" s="33">
        <v>607925.79947557533</v>
      </c>
      <c r="Q698" s="33">
        <v>0</v>
      </c>
      <c r="U698" s="32" t="s">
        <v>721</v>
      </c>
    </row>
    <row r="699" spans="1:27" x14ac:dyDescent="0.2">
      <c r="F699" s="33"/>
    </row>
    <row r="700" spans="1:27" x14ac:dyDescent="0.2">
      <c r="B700" s="32" t="s">
        <v>5</v>
      </c>
      <c r="F700" s="33"/>
    </row>
    <row r="701" spans="1:27" x14ac:dyDescent="0.2">
      <c r="A701" s="32">
        <v>17</v>
      </c>
      <c r="B701" s="32" t="s">
        <v>2548</v>
      </c>
      <c r="C701" s="32" t="s">
        <v>2407</v>
      </c>
      <c r="D701" s="33">
        <v>193250.44</v>
      </c>
      <c r="F701" s="33">
        <v>0</v>
      </c>
      <c r="H701" s="33">
        <v>193250.44</v>
      </c>
      <c r="I701" s="33">
        <v>0</v>
      </c>
      <c r="L701" s="33">
        <v>0</v>
      </c>
      <c r="N701" s="33">
        <v>0</v>
      </c>
      <c r="O701" s="33">
        <v>0</v>
      </c>
      <c r="P701" s="33">
        <v>0</v>
      </c>
      <c r="Q701" s="33">
        <v>0</v>
      </c>
      <c r="T701" s="33">
        <v>193250.44</v>
      </c>
    </row>
    <row r="702" spans="1:27" x14ac:dyDescent="0.2">
      <c r="A702" s="32">
        <v>18</v>
      </c>
      <c r="B702" s="32" t="s">
        <v>2549</v>
      </c>
      <c r="C702" s="32" t="s">
        <v>2409</v>
      </c>
      <c r="D702" s="33">
        <v>448173.6</v>
      </c>
      <c r="F702" s="33">
        <v>0</v>
      </c>
      <c r="H702" s="33">
        <v>448173.6</v>
      </c>
      <c r="I702" s="33">
        <v>0</v>
      </c>
      <c r="L702" s="33">
        <v>0</v>
      </c>
      <c r="N702" s="33">
        <v>0</v>
      </c>
      <c r="O702" s="33">
        <v>0</v>
      </c>
      <c r="P702" s="33">
        <v>0</v>
      </c>
      <c r="Q702" s="33">
        <v>0</v>
      </c>
      <c r="T702" s="33">
        <v>448173.6</v>
      </c>
    </row>
    <row r="703" spans="1:27" x14ac:dyDescent="0.2">
      <c r="A703" s="32">
        <v>19</v>
      </c>
      <c r="B703" s="32" t="s">
        <v>2550</v>
      </c>
      <c r="C703" s="32" t="s">
        <v>2411</v>
      </c>
      <c r="D703" s="33">
        <v>7696928.2699999996</v>
      </c>
      <c r="F703" s="33">
        <v>0</v>
      </c>
      <c r="H703" s="33">
        <v>7696928.2699999996</v>
      </c>
      <c r="I703" s="33">
        <v>0</v>
      </c>
      <c r="L703" s="33">
        <v>0</v>
      </c>
      <c r="N703" s="33">
        <v>0</v>
      </c>
      <c r="O703" s="33">
        <v>0</v>
      </c>
      <c r="P703" s="33">
        <v>0</v>
      </c>
      <c r="Q703" s="33">
        <v>0</v>
      </c>
      <c r="T703" s="33">
        <v>7696928.2699999996</v>
      </c>
    </row>
    <row r="704" spans="1:27" x14ac:dyDescent="0.2">
      <c r="A704" s="32">
        <v>20</v>
      </c>
      <c r="B704" s="32" t="s">
        <v>2551</v>
      </c>
      <c r="C704" s="32" t="s">
        <v>2414</v>
      </c>
      <c r="D704" s="33">
        <v>23371898.899999999</v>
      </c>
      <c r="F704" s="33">
        <v>0</v>
      </c>
      <c r="H704" s="33">
        <v>23371898.899999999</v>
      </c>
      <c r="I704" s="33">
        <v>0</v>
      </c>
      <c r="L704" s="33">
        <v>0</v>
      </c>
      <c r="N704" s="33">
        <v>0</v>
      </c>
      <c r="O704" s="33">
        <v>0</v>
      </c>
      <c r="P704" s="33">
        <v>0</v>
      </c>
      <c r="Q704" s="33">
        <v>0</v>
      </c>
      <c r="T704" s="33">
        <v>23371898.899999999</v>
      </c>
    </row>
    <row r="705" spans="1:27" x14ac:dyDescent="0.2">
      <c r="A705" s="32">
        <v>21</v>
      </c>
      <c r="B705" s="32" t="s">
        <v>2552</v>
      </c>
      <c r="C705" s="32" t="s">
        <v>2416</v>
      </c>
      <c r="D705" s="33">
        <v>20121982.84</v>
      </c>
      <c r="F705" s="33">
        <v>0</v>
      </c>
      <c r="H705" s="33">
        <v>20121982.84</v>
      </c>
      <c r="I705" s="33">
        <v>0</v>
      </c>
      <c r="L705" s="33">
        <v>0</v>
      </c>
      <c r="N705" s="33">
        <v>0</v>
      </c>
      <c r="O705" s="33">
        <v>0</v>
      </c>
      <c r="P705" s="33">
        <v>0</v>
      </c>
      <c r="Q705" s="33">
        <v>0</v>
      </c>
      <c r="T705" s="33">
        <v>20121982.84</v>
      </c>
    </row>
    <row r="706" spans="1:27" x14ac:dyDescent="0.2">
      <c r="A706" s="32">
        <v>22</v>
      </c>
      <c r="B706" s="32" t="s">
        <v>2554</v>
      </c>
      <c r="C706" s="32" t="s">
        <v>2418</v>
      </c>
      <c r="D706" s="33">
        <v>2763963.85</v>
      </c>
      <c r="F706" s="33">
        <v>0</v>
      </c>
      <c r="H706" s="33">
        <v>2763963.85</v>
      </c>
      <c r="I706" s="33">
        <v>0</v>
      </c>
      <c r="L706" s="33">
        <v>0</v>
      </c>
      <c r="N706" s="33">
        <v>0</v>
      </c>
      <c r="O706" s="33">
        <v>0</v>
      </c>
      <c r="P706" s="33">
        <v>0</v>
      </c>
      <c r="Q706" s="33">
        <v>0</v>
      </c>
      <c r="T706" s="33">
        <v>2763963.85</v>
      </c>
    </row>
    <row r="707" spans="1:27" x14ac:dyDescent="0.2">
      <c r="B707" s="32" t="s">
        <v>2555</v>
      </c>
      <c r="F707" s="33"/>
    </row>
    <row r="708" spans="1:27" x14ac:dyDescent="0.2">
      <c r="A708" s="32">
        <v>23</v>
      </c>
      <c r="B708" s="32" t="s">
        <v>1</v>
      </c>
      <c r="C708" s="32" t="s">
        <v>1678</v>
      </c>
      <c r="D708" s="33">
        <v>128027.55999999998</v>
      </c>
      <c r="F708" s="33">
        <v>0</v>
      </c>
      <c r="H708" s="33">
        <v>128027.55999999998</v>
      </c>
      <c r="I708" s="33">
        <v>0</v>
      </c>
      <c r="L708" s="33">
        <v>0</v>
      </c>
      <c r="N708" s="33">
        <v>0</v>
      </c>
      <c r="O708" s="33">
        <v>0</v>
      </c>
      <c r="P708" s="33">
        <v>0</v>
      </c>
      <c r="Q708" s="33">
        <v>0</v>
      </c>
      <c r="T708" s="33">
        <v>128027.55999999998</v>
      </c>
      <c r="W708" s="32" t="s">
        <v>6</v>
      </c>
      <c r="AA708" s="32">
        <v>128027.55999999998</v>
      </c>
    </row>
    <row r="709" spans="1:27" x14ac:dyDescent="0.2">
      <c r="A709" s="32">
        <v>24</v>
      </c>
      <c r="B709" s="32" t="s">
        <v>3</v>
      </c>
      <c r="C709" s="32" t="s">
        <v>1780</v>
      </c>
      <c r="D709" s="33">
        <v>13895428.499999998</v>
      </c>
      <c r="F709" s="33">
        <v>0</v>
      </c>
      <c r="H709" s="33">
        <v>13895428.499999998</v>
      </c>
      <c r="I709" s="33">
        <v>0</v>
      </c>
      <c r="L709" s="33">
        <v>0</v>
      </c>
      <c r="N709" s="33">
        <v>0</v>
      </c>
      <c r="O709" s="33">
        <v>0</v>
      </c>
      <c r="P709" s="33">
        <v>0</v>
      </c>
      <c r="Q709" s="33">
        <v>0</v>
      </c>
      <c r="T709" s="33">
        <v>13895428.499999998</v>
      </c>
    </row>
    <row r="710" spans="1:27" x14ac:dyDescent="0.2">
      <c r="A710" s="32">
        <v>25</v>
      </c>
      <c r="B710" s="32" t="s">
        <v>2556</v>
      </c>
      <c r="D710" s="33">
        <v>14023456.059999999</v>
      </c>
      <c r="F710" s="33">
        <v>0</v>
      </c>
      <c r="H710" s="33">
        <v>14023456.059999999</v>
      </c>
      <c r="I710" s="33">
        <v>0</v>
      </c>
      <c r="L710" s="33">
        <v>0</v>
      </c>
      <c r="N710" s="33">
        <v>0</v>
      </c>
      <c r="O710" s="33">
        <v>0</v>
      </c>
      <c r="P710" s="33">
        <v>0</v>
      </c>
      <c r="Q710" s="33">
        <v>0</v>
      </c>
      <c r="T710" s="33">
        <v>14023456.059999999</v>
      </c>
      <c r="U710" s="32" t="s">
        <v>721</v>
      </c>
    </row>
    <row r="711" spans="1:27" x14ac:dyDescent="0.2">
      <c r="A711" s="32">
        <v>26</v>
      </c>
      <c r="B711" s="32" t="s">
        <v>2557</v>
      </c>
      <c r="C711" s="32" t="s">
        <v>1819</v>
      </c>
      <c r="D711" s="33">
        <v>5175445.7300000004</v>
      </c>
      <c r="F711" s="33">
        <v>0</v>
      </c>
      <c r="H711" s="33">
        <v>5175445.7300000004</v>
      </c>
      <c r="I711" s="33">
        <v>0</v>
      </c>
      <c r="L711" s="33">
        <v>0</v>
      </c>
      <c r="N711" s="33">
        <v>0</v>
      </c>
      <c r="O711" s="33">
        <v>0</v>
      </c>
      <c r="P711" s="33">
        <v>0</v>
      </c>
      <c r="Q711" s="33">
        <v>0</v>
      </c>
      <c r="T711" s="33">
        <v>5175445.7300000004</v>
      </c>
    </row>
    <row r="712" spans="1:27" x14ac:dyDescent="0.2">
      <c r="A712" s="32">
        <v>27</v>
      </c>
      <c r="B712" s="32" t="s">
        <v>2558</v>
      </c>
      <c r="C712" s="32" t="s">
        <v>1821</v>
      </c>
      <c r="D712" s="33">
        <v>3637511.5</v>
      </c>
      <c r="F712" s="33">
        <v>0</v>
      </c>
      <c r="H712" s="33">
        <v>3637511.5</v>
      </c>
      <c r="I712" s="33">
        <v>0</v>
      </c>
      <c r="L712" s="33">
        <v>0</v>
      </c>
      <c r="N712" s="33">
        <v>0</v>
      </c>
      <c r="O712" s="33">
        <v>0</v>
      </c>
      <c r="P712" s="33">
        <v>0</v>
      </c>
      <c r="Q712" s="33">
        <v>0</v>
      </c>
      <c r="T712" s="33">
        <v>3637511.5</v>
      </c>
    </row>
    <row r="713" spans="1:27" x14ac:dyDescent="0.2">
      <c r="A713" s="32">
        <v>28</v>
      </c>
      <c r="B713" s="32" t="s">
        <v>2559</v>
      </c>
      <c r="C713" s="32" t="s">
        <v>1823</v>
      </c>
      <c r="D713" s="33">
        <v>856340.66</v>
      </c>
      <c r="F713" s="33">
        <v>0</v>
      </c>
      <c r="H713" s="33">
        <v>856340.66</v>
      </c>
      <c r="I713" s="33">
        <v>0</v>
      </c>
      <c r="L713" s="33">
        <v>0</v>
      </c>
      <c r="N713" s="33">
        <v>0</v>
      </c>
      <c r="O713" s="33">
        <v>0</v>
      </c>
      <c r="P713" s="33">
        <v>0</v>
      </c>
      <c r="Q713" s="33">
        <v>0</v>
      </c>
      <c r="T713" s="33">
        <v>856340.66</v>
      </c>
    </row>
    <row r="714" spans="1:27" x14ac:dyDescent="0.2">
      <c r="A714" s="32">
        <v>29</v>
      </c>
      <c r="B714" s="32" t="s">
        <v>2560</v>
      </c>
      <c r="C714" s="32" t="s">
        <v>1825</v>
      </c>
      <c r="D714" s="33">
        <v>2038653.7300000002</v>
      </c>
      <c r="F714" s="33">
        <v>0</v>
      </c>
      <c r="H714" s="33">
        <v>2038653.7300000002</v>
      </c>
      <c r="I714" s="33">
        <v>0</v>
      </c>
      <c r="L714" s="33">
        <v>0</v>
      </c>
      <c r="N714" s="33">
        <v>0</v>
      </c>
      <c r="O714" s="33">
        <v>0</v>
      </c>
      <c r="P714" s="33">
        <v>0</v>
      </c>
      <c r="Q714" s="33">
        <v>0</v>
      </c>
      <c r="T714" s="33">
        <v>2038653.7300000002</v>
      </c>
    </row>
    <row r="715" spans="1:27" x14ac:dyDescent="0.2">
      <c r="A715" s="32">
        <v>30</v>
      </c>
      <c r="B715" s="32" t="s">
        <v>7</v>
      </c>
      <c r="D715" s="33">
        <v>80327605.579999998</v>
      </c>
      <c r="F715" s="33">
        <v>0</v>
      </c>
      <c r="H715" s="33">
        <v>80327605.579999998</v>
      </c>
      <c r="I715" s="33">
        <v>0</v>
      </c>
      <c r="L715" s="33">
        <v>0</v>
      </c>
      <c r="N715" s="33">
        <v>0</v>
      </c>
      <c r="O715" s="33">
        <v>0</v>
      </c>
      <c r="P715" s="33">
        <v>0</v>
      </c>
      <c r="Q715" s="33">
        <v>0</v>
      </c>
      <c r="U715" s="32" t="s">
        <v>721</v>
      </c>
    </row>
    <row r="716" spans="1:27" x14ac:dyDescent="0.2">
      <c r="F716" s="33"/>
    </row>
    <row r="717" spans="1:27" x14ac:dyDescent="0.2">
      <c r="B717" s="32" t="s">
        <v>2561</v>
      </c>
      <c r="F717" s="33"/>
    </row>
    <row r="718" spans="1:27" x14ac:dyDescent="0.2">
      <c r="A718" s="32">
        <v>31</v>
      </c>
      <c r="B718" s="32" t="s">
        <v>2548</v>
      </c>
      <c r="C718" s="32" t="s">
        <v>2421</v>
      </c>
      <c r="D718" s="33">
        <v>5040.2299999999996</v>
      </c>
      <c r="F718" s="33">
        <v>0</v>
      </c>
      <c r="H718" s="33">
        <v>0</v>
      </c>
      <c r="I718" s="33">
        <v>5040.2299999999996</v>
      </c>
      <c r="L718" s="33">
        <v>5040.2299999999996</v>
      </c>
      <c r="N718" s="33">
        <v>0</v>
      </c>
      <c r="O718" s="33">
        <v>0</v>
      </c>
      <c r="P718" s="33">
        <v>0</v>
      </c>
      <c r="Q718" s="33">
        <v>0</v>
      </c>
      <c r="T718" s="33">
        <v>5040.2299999999996</v>
      </c>
      <c r="U718" s="32" t="s">
        <v>721</v>
      </c>
    </row>
    <row r="719" spans="1:27" x14ac:dyDescent="0.2">
      <c r="A719" s="32">
        <v>32</v>
      </c>
      <c r="B719" s="32" t="s">
        <v>2549</v>
      </c>
      <c r="C719" s="32" t="s">
        <v>2423</v>
      </c>
      <c r="D719" s="33">
        <v>2621.29</v>
      </c>
      <c r="F719" s="33">
        <v>0</v>
      </c>
      <c r="H719" s="33">
        <v>0</v>
      </c>
      <c r="I719" s="33">
        <v>2621.29</v>
      </c>
      <c r="L719" s="33">
        <v>2621.29</v>
      </c>
      <c r="N719" s="33">
        <v>0</v>
      </c>
      <c r="O719" s="33">
        <v>0</v>
      </c>
      <c r="P719" s="33">
        <v>0</v>
      </c>
      <c r="Q719" s="33">
        <v>0</v>
      </c>
      <c r="T719" s="33">
        <v>2621.29</v>
      </c>
      <c r="U719" s="32" t="s">
        <v>721</v>
      </c>
    </row>
    <row r="720" spans="1:27" x14ac:dyDescent="0.2">
      <c r="A720" s="32">
        <v>33</v>
      </c>
      <c r="B720" s="32" t="s">
        <v>2550</v>
      </c>
      <c r="C720" s="32" t="s">
        <v>2425</v>
      </c>
      <c r="D720" s="33">
        <v>56019.76</v>
      </c>
      <c r="F720" s="33">
        <v>0</v>
      </c>
      <c r="H720" s="33">
        <v>0</v>
      </c>
      <c r="I720" s="33">
        <v>56019.76</v>
      </c>
      <c r="L720" s="33">
        <v>56019.76</v>
      </c>
      <c r="N720" s="33">
        <v>0</v>
      </c>
      <c r="O720" s="33">
        <v>0</v>
      </c>
      <c r="P720" s="33">
        <v>0</v>
      </c>
      <c r="Q720" s="33">
        <v>0</v>
      </c>
      <c r="T720" s="33">
        <v>56019.76</v>
      </c>
      <c r="U720" s="32" t="s">
        <v>721</v>
      </c>
    </row>
    <row r="721" spans="1:21" x14ac:dyDescent="0.2">
      <c r="A721" s="32">
        <v>34</v>
      </c>
      <c r="B721" s="32" t="s">
        <v>2551</v>
      </c>
      <c r="C721" s="32" t="s">
        <v>2427</v>
      </c>
      <c r="D721" s="33">
        <v>48114.2</v>
      </c>
      <c r="F721" s="33">
        <v>0</v>
      </c>
      <c r="H721" s="33">
        <v>0</v>
      </c>
      <c r="I721" s="33">
        <v>48114.2</v>
      </c>
      <c r="L721" s="33">
        <v>48114.2</v>
      </c>
      <c r="N721" s="33">
        <v>0</v>
      </c>
      <c r="O721" s="33">
        <v>0</v>
      </c>
      <c r="P721" s="33">
        <v>0</v>
      </c>
      <c r="Q721" s="33">
        <v>0</v>
      </c>
      <c r="T721" s="33">
        <v>48114.2</v>
      </c>
      <c r="U721" s="32" t="s">
        <v>721</v>
      </c>
    </row>
    <row r="722" spans="1:21" x14ac:dyDescent="0.2">
      <c r="A722" s="32">
        <v>35</v>
      </c>
      <c r="B722" s="32" t="s">
        <v>2552</v>
      </c>
      <c r="C722" s="32" t="s">
        <v>2429</v>
      </c>
      <c r="D722" s="33">
        <v>46763.22</v>
      </c>
      <c r="F722" s="33">
        <v>0</v>
      </c>
      <c r="H722" s="33">
        <v>0</v>
      </c>
      <c r="I722" s="33">
        <v>46763.22</v>
      </c>
      <c r="L722" s="33">
        <v>46763.22</v>
      </c>
      <c r="N722" s="33">
        <v>0</v>
      </c>
      <c r="O722" s="33">
        <v>0</v>
      </c>
      <c r="P722" s="33">
        <v>0</v>
      </c>
      <c r="Q722" s="33">
        <v>0</v>
      </c>
      <c r="T722" s="33">
        <v>46763.22</v>
      </c>
      <c r="U722" s="32" t="s">
        <v>721</v>
      </c>
    </row>
    <row r="723" spans="1:21" x14ac:dyDescent="0.2">
      <c r="A723" s="32">
        <v>36</v>
      </c>
      <c r="B723" s="32" t="s">
        <v>2555</v>
      </c>
      <c r="C723" s="32" t="s">
        <v>2431</v>
      </c>
      <c r="D723" s="33">
        <v>3118.28</v>
      </c>
      <c r="F723" s="33">
        <v>0</v>
      </c>
      <c r="H723" s="33">
        <v>0</v>
      </c>
      <c r="I723" s="33">
        <v>3118.28</v>
      </c>
      <c r="L723" s="33">
        <v>3118.28</v>
      </c>
      <c r="N723" s="33">
        <v>0</v>
      </c>
      <c r="O723" s="33">
        <v>0</v>
      </c>
      <c r="P723" s="33">
        <v>0</v>
      </c>
      <c r="Q723" s="33">
        <v>0</v>
      </c>
      <c r="T723" s="33">
        <v>3118.28</v>
      </c>
      <c r="U723" s="32" t="s">
        <v>721</v>
      </c>
    </row>
    <row r="724" spans="1:21" x14ac:dyDescent="0.2">
      <c r="A724" s="32">
        <v>37</v>
      </c>
      <c r="B724" s="32" t="s">
        <v>2557</v>
      </c>
      <c r="C724" s="32" t="s">
        <v>2433</v>
      </c>
      <c r="D724" s="33">
        <v>254.62</v>
      </c>
      <c r="F724" s="33">
        <v>0</v>
      </c>
      <c r="H724" s="33">
        <v>0</v>
      </c>
      <c r="I724" s="33">
        <v>254.62</v>
      </c>
      <c r="L724" s="33">
        <v>254.62</v>
      </c>
      <c r="N724" s="33">
        <v>0</v>
      </c>
      <c r="O724" s="33">
        <v>0</v>
      </c>
      <c r="P724" s="33">
        <v>0</v>
      </c>
      <c r="Q724" s="33">
        <v>0</v>
      </c>
      <c r="T724" s="33">
        <v>254.62</v>
      </c>
      <c r="U724" s="32" t="s">
        <v>721</v>
      </c>
    </row>
    <row r="725" spans="1:21" x14ac:dyDescent="0.2">
      <c r="A725" s="32">
        <v>38</v>
      </c>
      <c r="B725" s="32" t="s">
        <v>2558</v>
      </c>
      <c r="C725" s="32" t="s">
        <v>2435</v>
      </c>
      <c r="D725" s="33">
        <v>111.07999999999993</v>
      </c>
      <c r="F725" s="33">
        <v>0</v>
      </c>
      <c r="H725" s="33">
        <v>0</v>
      </c>
      <c r="I725" s="33">
        <v>111.07999999999993</v>
      </c>
      <c r="L725" s="33">
        <v>111.07999999999993</v>
      </c>
      <c r="N725" s="33">
        <v>0</v>
      </c>
      <c r="O725" s="33">
        <v>0</v>
      </c>
      <c r="P725" s="33">
        <v>0</v>
      </c>
      <c r="Q725" s="33">
        <v>0</v>
      </c>
      <c r="T725" s="33">
        <v>111.07999999999993</v>
      </c>
      <c r="U725" s="32" t="s">
        <v>721</v>
      </c>
    </row>
    <row r="726" spans="1:21" x14ac:dyDescent="0.2">
      <c r="A726" s="32">
        <v>39</v>
      </c>
      <c r="B726" s="32" t="s">
        <v>2559</v>
      </c>
      <c r="C726" s="32" t="s">
        <v>2437</v>
      </c>
      <c r="D726" s="33">
        <v>0</v>
      </c>
      <c r="F726" s="33">
        <v>0</v>
      </c>
      <c r="H726" s="33">
        <v>0</v>
      </c>
      <c r="I726" s="33">
        <v>0</v>
      </c>
      <c r="L726" s="33">
        <v>0</v>
      </c>
      <c r="N726" s="33">
        <v>0</v>
      </c>
      <c r="O726" s="33">
        <v>0</v>
      </c>
      <c r="P726" s="33">
        <v>0</v>
      </c>
      <c r="Q726" s="33">
        <v>0</v>
      </c>
      <c r="T726" s="33">
        <v>0</v>
      </c>
      <c r="U726" s="32" t="s">
        <v>721</v>
      </c>
    </row>
    <row r="727" spans="1:21" x14ac:dyDescent="0.2">
      <c r="A727" s="32">
        <v>40</v>
      </c>
      <c r="B727" s="32" t="s">
        <v>2562</v>
      </c>
      <c r="D727" s="33">
        <v>162042.68</v>
      </c>
      <c r="F727" s="33">
        <v>0</v>
      </c>
      <c r="H727" s="33">
        <v>0</v>
      </c>
      <c r="I727" s="33">
        <v>162042.68</v>
      </c>
      <c r="L727" s="33">
        <v>162042.68</v>
      </c>
      <c r="N727" s="33">
        <v>0</v>
      </c>
      <c r="O727" s="33">
        <v>0</v>
      </c>
      <c r="P727" s="33">
        <v>0</v>
      </c>
      <c r="Q727" s="33">
        <v>0</v>
      </c>
      <c r="U727" s="32" t="s">
        <v>721</v>
      </c>
    </row>
    <row r="728" spans="1:21" x14ac:dyDescent="0.2">
      <c r="F728" s="33"/>
    </row>
    <row r="729" spans="1:21" x14ac:dyDescent="0.2">
      <c r="A729" s="32">
        <v>41</v>
      </c>
      <c r="B729" s="32" t="s">
        <v>1859</v>
      </c>
      <c r="D729" s="33">
        <v>1433759656.6499999</v>
      </c>
      <c r="F729" s="33">
        <v>1348948019.5461249</v>
      </c>
      <c r="H729" s="33">
        <v>80327605.579999998</v>
      </c>
      <c r="I729" s="33">
        <v>4484031.5238750307</v>
      </c>
      <c r="L729" s="33">
        <v>162042.68</v>
      </c>
      <c r="N729" s="33">
        <v>4321988.843875031</v>
      </c>
      <c r="O729" s="33">
        <v>3714063.0443994557</v>
      </c>
      <c r="P729" s="33">
        <v>607925.79947557533</v>
      </c>
      <c r="Q729" s="33">
        <v>0</v>
      </c>
    </row>
    <row r="730" spans="1:21" x14ac:dyDescent="0.2">
      <c r="F730" s="33"/>
    </row>
    <row r="731" spans="1:21" x14ac:dyDescent="0.2">
      <c r="B731" s="32" t="s">
        <v>1366</v>
      </c>
      <c r="F731" s="33"/>
    </row>
    <row r="732" spans="1:21" x14ac:dyDescent="0.2">
      <c r="F732" s="33"/>
    </row>
    <row r="733" spans="1:21" x14ac:dyDescent="0.2">
      <c r="B733" s="32" t="s">
        <v>24</v>
      </c>
      <c r="F733" s="33"/>
    </row>
    <row r="734" spans="1:21" x14ac:dyDescent="0.2">
      <c r="A734" s="32">
        <v>1</v>
      </c>
      <c r="B734" s="32" t="s">
        <v>2563</v>
      </c>
      <c r="C734" s="32" t="s">
        <v>1844</v>
      </c>
      <c r="D734" s="33">
        <v>2629527.6200000006</v>
      </c>
      <c r="F734" s="33">
        <v>2338646.1876761313</v>
      </c>
      <c r="H734" s="33">
        <v>144079.66990106931</v>
      </c>
      <c r="I734" s="33">
        <v>146801.76242279992</v>
      </c>
      <c r="L734" s="33">
        <v>80.722897591639082</v>
      </c>
      <c r="N734" s="33">
        <v>146721.03952520827</v>
      </c>
      <c r="O734" s="33">
        <v>47664.173027435208</v>
      </c>
      <c r="P734" s="33">
        <v>99056.866497773066</v>
      </c>
      <c r="Q734" s="33">
        <v>1.6455083452609518E-13</v>
      </c>
      <c r="T734" s="33">
        <v>2629527.6200000006</v>
      </c>
      <c r="U734" s="32" t="s">
        <v>721</v>
      </c>
    </row>
    <row r="735" spans="1:21" x14ac:dyDescent="0.2">
      <c r="A735" s="32">
        <v>2</v>
      </c>
      <c r="B735" s="32" t="s">
        <v>2564</v>
      </c>
      <c r="C735" s="32" t="s">
        <v>1844</v>
      </c>
      <c r="D735" s="33">
        <v>46799329.669999987</v>
      </c>
      <c r="F735" s="33">
        <v>41622332.880665429</v>
      </c>
      <c r="H735" s="33">
        <v>2564275.0124240629</v>
      </c>
      <c r="I735" s="33">
        <v>2612721.7769104964</v>
      </c>
      <c r="L735" s="33">
        <v>1436.6753433488427</v>
      </c>
      <c r="N735" s="33">
        <v>2611285.1015671478</v>
      </c>
      <c r="O735" s="33">
        <v>848308.77226490655</v>
      </c>
      <c r="P735" s="33">
        <v>1762976.3293022411</v>
      </c>
      <c r="Q735" s="33">
        <v>2.9286129926485976E-12</v>
      </c>
      <c r="T735" s="33">
        <v>46799329.669999994</v>
      </c>
      <c r="U735" s="32" t="s">
        <v>721</v>
      </c>
    </row>
    <row r="736" spans="1:21" x14ac:dyDescent="0.2">
      <c r="A736" s="32">
        <v>3</v>
      </c>
      <c r="B736" s="32" t="s">
        <v>2565</v>
      </c>
      <c r="C736" s="32" t="s">
        <v>1844</v>
      </c>
      <c r="D736" s="33">
        <v>32854980.949999999</v>
      </c>
      <c r="F736" s="33">
        <v>29220524.386387467</v>
      </c>
      <c r="H736" s="33">
        <v>1800222.5091219691</v>
      </c>
      <c r="I736" s="33">
        <v>1834234.0544905614</v>
      </c>
      <c r="L736" s="33">
        <v>1008.6029302107511</v>
      </c>
      <c r="N736" s="33">
        <v>1833225.4515603506</v>
      </c>
      <c r="O736" s="33">
        <v>595546.31976593856</v>
      </c>
      <c r="P736" s="33">
        <v>1237679.1317944122</v>
      </c>
      <c r="Q736" s="33">
        <v>2.0560021855413936E-12</v>
      </c>
      <c r="T736" s="33">
        <v>32854980.950000003</v>
      </c>
      <c r="U736" s="32" t="s">
        <v>721</v>
      </c>
    </row>
    <row r="737" spans="1:23" x14ac:dyDescent="0.2">
      <c r="A737" s="32">
        <v>4</v>
      </c>
      <c r="B737" s="32" t="s">
        <v>2566</v>
      </c>
      <c r="C737" s="32" t="s">
        <v>1844</v>
      </c>
      <c r="D737" s="33">
        <v>15969954.879999997</v>
      </c>
      <c r="F737" s="33">
        <v>14203339.722847944</v>
      </c>
      <c r="H737" s="33">
        <v>875041.51313891518</v>
      </c>
      <c r="I737" s="33">
        <v>891573.64401313779</v>
      </c>
      <c r="L737" s="33">
        <v>490.25574879541915</v>
      </c>
      <c r="N737" s="33">
        <v>891083.38826434233</v>
      </c>
      <c r="O737" s="33">
        <v>289479.63385174598</v>
      </c>
      <c r="P737" s="33">
        <v>601603.75441259635</v>
      </c>
      <c r="Q737" s="33">
        <v>9.9936938591581913E-13</v>
      </c>
      <c r="T737" s="33">
        <v>15969954.879999999</v>
      </c>
      <c r="U737" s="32" t="s">
        <v>721</v>
      </c>
    </row>
    <row r="738" spans="1:23" x14ac:dyDescent="0.2">
      <c r="A738" s="32">
        <v>5</v>
      </c>
      <c r="B738" s="32" t="s">
        <v>2567</v>
      </c>
      <c r="C738" s="32" t="s">
        <v>1844</v>
      </c>
      <c r="D738" s="33">
        <v>551794.27</v>
      </c>
      <c r="F738" s="33">
        <v>490754.1400599677</v>
      </c>
      <c r="H738" s="33">
        <v>30234.455675693378</v>
      </c>
      <c r="I738" s="33">
        <v>30805.674264338893</v>
      </c>
      <c r="L738" s="33">
        <v>16.939328573724293</v>
      </c>
      <c r="N738" s="33">
        <v>30788.734935765169</v>
      </c>
      <c r="O738" s="33">
        <v>10002.107359810618</v>
      </c>
      <c r="P738" s="33">
        <v>20786.62757595455</v>
      </c>
      <c r="Q738" s="33">
        <v>3.4530235364182055E-14</v>
      </c>
      <c r="T738" s="33">
        <v>551794.27</v>
      </c>
      <c r="U738" s="32" t="s">
        <v>721</v>
      </c>
    </row>
    <row r="739" spans="1:23" x14ac:dyDescent="0.2">
      <c r="A739" s="32">
        <v>6</v>
      </c>
      <c r="B739" s="32" t="s">
        <v>2568</v>
      </c>
      <c r="C739" s="32" t="s">
        <v>1844</v>
      </c>
      <c r="D739" s="33">
        <v>8221696.5200000005</v>
      </c>
      <c r="F739" s="33">
        <v>7312202.7988921115</v>
      </c>
      <c r="H739" s="33">
        <v>450491.30179068825</v>
      </c>
      <c r="I739" s="33">
        <v>459002.41931720072</v>
      </c>
      <c r="L739" s="33">
        <v>252.39482603856254</v>
      </c>
      <c r="N739" s="33">
        <v>458750.02449116216</v>
      </c>
      <c r="O739" s="33">
        <v>149030.70898656009</v>
      </c>
      <c r="P739" s="33">
        <v>309719.31550460204</v>
      </c>
      <c r="Q739" s="33">
        <v>5.144981225130818E-13</v>
      </c>
      <c r="T739" s="33">
        <v>8221696.5200000014</v>
      </c>
      <c r="U739" s="32" t="s">
        <v>721</v>
      </c>
    </row>
    <row r="740" spans="1:23" x14ac:dyDescent="0.2">
      <c r="A740" s="32">
        <v>7</v>
      </c>
      <c r="B740" s="32" t="s">
        <v>2569</v>
      </c>
      <c r="C740" s="32" t="s">
        <v>1844</v>
      </c>
      <c r="D740" s="33">
        <v>0</v>
      </c>
      <c r="F740" s="33">
        <v>0</v>
      </c>
      <c r="H740" s="33">
        <v>0</v>
      </c>
      <c r="I740" s="33">
        <v>0</v>
      </c>
      <c r="L740" s="33">
        <v>0</v>
      </c>
      <c r="N740" s="33">
        <v>0</v>
      </c>
      <c r="O740" s="33">
        <v>0</v>
      </c>
      <c r="P740" s="33">
        <v>0</v>
      </c>
      <c r="Q740" s="33">
        <v>0</v>
      </c>
      <c r="T740" s="33">
        <v>0</v>
      </c>
      <c r="U740" s="32" t="s">
        <v>721</v>
      </c>
    </row>
    <row r="741" spans="1:23" x14ac:dyDescent="0.2">
      <c r="A741" s="32">
        <v>8</v>
      </c>
      <c r="B741" s="32" t="s">
        <v>2570</v>
      </c>
      <c r="C741" s="32" t="s">
        <v>1844</v>
      </c>
      <c r="D741" s="33">
        <v>1188992.9399999997</v>
      </c>
      <c r="F741" s="33">
        <v>1057465.1451293118</v>
      </c>
      <c r="H741" s="33">
        <v>65148.473439462054</v>
      </c>
      <c r="I741" s="33">
        <v>66379.321431225864</v>
      </c>
      <c r="L741" s="33">
        <v>36.500455291966794</v>
      </c>
      <c r="N741" s="33">
        <v>66342.820975933893</v>
      </c>
      <c r="O741" s="33">
        <v>21552.298895631633</v>
      </c>
      <c r="P741" s="33">
        <v>44790.522080302268</v>
      </c>
      <c r="Q741" s="33">
        <v>7.440491555766026E-14</v>
      </c>
      <c r="T741" s="33">
        <v>1188992.94</v>
      </c>
      <c r="U741" s="32" t="s">
        <v>721</v>
      </c>
    </row>
    <row r="742" spans="1:23" x14ac:dyDescent="0.2">
      <c r="A742" s="32">
        <v>9</v>
      </c>
      <c r="B742" s="32" t="s">
        <v>2571</v>
      </c>
      <c r="C742" s="32" t="s">
        <v>1844</v>
      </c>
      <c r="D742" s="33">
        <v>31878274.709999997</v>
      </c>
      <c r="F742" s="33">
        <v>28351862.537284892</v>
      </c>
      <c r="H742" s="33">
        <v>1746705.8578500135</v>
      </c>
      <c r="I742" s="33">
        <v>1779706.3148650895</v>
      </c>
      <c r="L742" s="33">
        <v>978.61938594638798</v>
      </c>
      <c r="N742" s="33">
        <v>1778727.6954791432</v>
      </c>
      <c r="O742" s="33">
        <v>577842.03901746869</v>
      </c>
      <c r="P742" s="33">
        <v>1200885.6564616745</v>
      </c>
      <c r="Q742" s="33">
        <v>1.9948817676927894E-12</v>
      </c>
      <c r="T742" s="33">
        <v>31878274.709999997</v>
      </c>
      <c r="U742" s="32" t="s">
        <v>721</v>
      </c>
    </row>
    <row r="743" spans="1:23" x14ac:dyDescent="0.2">
      <c r="A743" s="32">
        <v>10</v>
      </c>
      <c r="B743" s="32" t="s">
        <v>2572</v>
      </c>
      <c r="C743" s="32" t="s">
        <v>1844</v>
      </c>
      <c r="D743" s="33">
        <v>0</v>
      </c>
      <c r="F743" s="33">
        <v>0</v>
      </c>
      <c r="H743" s="33">
        <v>0</v>
      </c>
      <c r="I743" s="33">
        <v>0</v>
      </c>
      <c r="L743" s="33">
        <v>0</v>
      </c>
      <c r="N743" s="33">
        <v>0</v>
      </c>
      <c r="O743" s="33">
        <v>0</v>
      </c>
      <c r="P743" s="33">
        <v>0</v>
      </c>
      <c r="Q743" s="33">
        <v>0</v>
      </c>
      <c r="T743" s="33">
        <v>0</v>
      </c>
      <c r="U743" s="32" t="s">
        <v>721</v>
      </c>
    </row>
    <row r="744" spans="1:23" x14ac:dyDescent="0.2">
      <c r="A744" s="32">
        <v>11</v>
      </c>
      <c r="B744" s="32" t="s">
        <v>2573</v>
      </c>
      <c r="D744" s="33">
        <v>140094551.55999997</v>
      </c>
      <c r="F744" s="33">
        <v>124597127.79894324</v>
      </c>
      <c r="H744" s="33">
        <v>7676198.7933418741</v>
      </c>
      <c r="I744" s="33">
        <v>7821224.9677148508</v>
      </c>
      <c r="L744" s="33">
        <v>4300.7109157972936</v>
      </c>
      <c r="N744" s="33">
        <v>7816924.2567990534</v>
      </c>
      <c r="O744" s="33">
        <v>2539426.0531694978</v>
      </c>
      <c r="P744" s="33">
        <v>5277498.2036295561</v>
      </c>
      <c r="Q744" s="33">
        <v>8.7668504397596189E-12</v>
      </c>
      <c r="U744" s="32" t="s">
        <v>721</v>
      </c>
    </row>
    <row r="745" spans="1:23" x14ac:dyDescent="0.2">
      <c r="F745" s="33"/>
    </row>
    <row r="746" spans="1:23" x14ac:dyDescent="0.2">
      <c r="B746" s="32" t="s">
        <v>2574</v>
      </c>
      <c r="F746" s="33"/>
    </row>
    <row r="747" spans="1:23" x14ac:dyDescent="0.2">
      <c r="A747" s="32">
        <v>12</v>
      </c>
      <c r="B747" s="32" t="s">
        <v>2575</v>
      </c>
      <c r="C747" s="32" t="s">
        <v>1674</v>
      </c>
      <c r="D747" s="33">
        <v>0</v>
      </c>
      <c r="F747" s="33">
        <v>0</v>
      </c>
      <c r="H747" s="33">
        <v>0</v>
      </c>
      <c r="I747" s="33">
        <v>0</v>
      </c>
      <c r="L747" s="33">
        <v>0</v>
      </c>
      <c r="N747" s="33">
        <v>0</v>
      </c>
      <c r="O747" s="33">
        <v>0</v>
      </c>
      <c r="P747" s="33">
        <v>0</v>
      </c>
      <c r="Q747" s="33">
        <v>0</v>
      </c>
      <c r="T747" s="33">
        <v>0</v>
      </c>
    </row>
    <row r="748" spans="1:23" x14ac:dyDescent="0.2">
      <c r="A748" s="32">
        <v>13</v>
      </c>
      <c r="B748" s="32" t="s">
        <v>2576</v>
      </c>
      <c r="C748" s="32" t="s">
        <v>1687</v>
      </c>
      <c r="D748" s="33">
        <v>0</v>
      </c>
      <c r="F748" s="33">
        <v>0</v>
      </c>
      <c r="H748" s="33">
        <v>0</v>
      </c>
      <c r="I748" s="33">
        <v>0</v>
      </c>
      <c r="L748" s="33">
        <v>0</v>
      </c>
      <c r="N748" s="33">
        <v>0</v>
      </c>
      <c r="O748" s="33">
        <v>0</v>
      </c>
      <c r="P748" s="33">
        <v>0</v>
      </c>
      <c r="Q748" s="33">
        <v>0</v>
      </c>
      <c r="T748" s="33">
        <v>0</v>
      </c>
    </row>
    <row r="749" spans="1:23" x14ac:dyDescent="0.2">
      <c r="A749" s="32">
        <v>14</v>
      </c>
      <c r="B749" s="32" t="s">
        <v>2577</v>
      </c>
      <c r="C749" s="32" t="s">
        <v>1680</v>
      </c>
      <c r="D749" s="33">
        <v>792599.21</v>
      </c>
      <c r="F749" s="33">
        <v>722726.88057473651</v>
      </c>
      <c r="H749" s="33">
        <v>0</v>
      </c>
      <c r="I749" s="33">
        <v>69872.329425263481</v>
      </c>
      <c r="L749" s="33">
        <v>0</v>
      </c>
      <c r="N749" s="33">
        <v>69872.329425263481</v>
      </c>
      <c r="O749" s="33">
        <v>21801.939600391364</v>
      </c>
      <c r="P749" s="33">
        <v>48070.389824872123</v>
      </c>
      <c r="Q749" s="33">
        <v>0</v>
      </c>
      <c r="T749" s="33">
        <v>792599.21</v>
      </c>
    </row>
    <row r="750" spans="1:23" x14ac:dyDescent="0.2">
      <c r="A750" s="32">
        <v>15</v>
      </c>
      <c r="B750" s="32" t="s">
        <v>1421</v>
      </c>
      <c r="C750" s="32" t="s">
        <v>1844</v>
      </c>
      <c r="D750" s="33">
        <v>0</v>
      </c>
      <c r="F750" s="79">
        <v>0</v>
      </c>
      <c r="H750" s="33">
        <v>0</v>
      </c>
      <c r="I750" s="33">
        <v>0</v>
      </c>
      <c r="L750" s="33">
        <v>0</v>
      </c>
      <c r="N750" s="33">
        <v>0</v>
      </c>
      <c r="O750" s="33">
        <v>0</v>
      </c>
      <c r="P750" s="33">
        <v>0</v>
      </c>
      <c r="Q750" s="33">
        <v>0</v>
      </c>
      <c r="T750" s="33">
        <v>0</v>
      </c>
    </row>
    <row r="751" spans="1:23" x14ac:dyDescent="0.2">
      <c r="A751" s="32">
        <v>16</v>
      </c>
      <c r="B751" s="32" t="s">
        <v>2578</v>
      </c>
      <c r="D751" s="33">
        <v>792599.21</v>
      </c>
      <c r="F751" s="33">
        <v>722726.88057473651</v>
      </c>
      <c r="H751" s="33">
        <v>0</v>
      </c>
      <c r="I751" s="33">
        <v>69872.329425263481</v>
      </c>
      <c r="L751" s="33">
        <v>0</v>
      </c>
      <c r="N751" s="33">
        <v>69872.329425263481</v>
      </c>
      <c r="O751" s="33">
        <v>21801.939600391364</v>
      </c>
      <c r="P751" s="33">
        <v>48070.389824872123</v>
      </c>
      <c r="Q751" s="33">
        <v>0</v>
      </c>
      <c r="T751" s="33">
        <v>792599.21</v>
      </c>
      <c r="U751" s="32" t="s">
        <v>721</v>
      </c>
      <c r="V751" s="32" t="s">
        <v>721</v>
      </c>
      <c r="W751" s="32" t="s">
        <v>2579</v>
      </c>
    </row>
    <row r="752" spans="1:23" x14ac:dyDescent="0.2">
      <c r="F752" s="33"/>
    </row>
    <row r="753" spans="1:22" x14ac:dyDescent="0.2">
      <c r="A753" s="32">
        <v>17</v>
      </c>
      <c r="B753" s="32" t="s">
        <v>1761</v>
      </c>
      <c r="D753" s="33">
        <v>6492570022.5200014</v>
      </c>
      <c r="F753" s="33">
        <v>5653048566.0583582</v>
      </c>
      <c r="H753" s="33">
        <v>385619848.42484289</v>
      </c>
      <c r="I753" s="33">
        <v>453901608.03680044</v>
      </c>
      <c r="L753" s="33">
        <v>204724.27671333775</v>
      </c>
      <c r="N753" s="33">
        <v>453696883.76008713</v>
      </c>
      <c r="O753" s="33">
        <v>144053837.02218154</v>
      </c>
      <c r="P753" s="33">
        <v>309643046.73790562</v>
      </c>
      <c r="Q753" s="33">
        <v>8.8488281144771059E-12</v>
      </c>
      <c r="U753" s="32" t="s">
        <v>721</v>
      </c>
    </row>
    <row r="754" spans="1:22" x14ac:dyDescent="0.2">
      <c r="F754" s="33"/>
    </row>
    <row r="755" spans="1:22" x14ac:dyDescent="0.2">
      <c r="B755" s="32" t="s">
        <v>1366</v>
      </c>
      <c r="F755" s="33"/>
    </row>
    <row r="756" spans="1:22" x14ac:dyDescent="0.2">
      <c r="F756" s="33"/>
    </row>
    <row r="757" spans="1:22" x14ac:dyDescent="0.2">
      <c r="B757" s="32" t="s">
        <v>8</v>
      </c>
      <c r="F757" s="33"/>
    </row>
    <row r="758" spans="1:22" x14ac:dyDescent="0.2">
      <c r="F758" s="33"/>
    </row>
    <row r="759" spans="1:22" x14ac:dyDescent="0.2">
      <c r="B759" s="32" t="s">
        <v>9</v>
      </c>
      <c r="F759" s="33"/>
    </row>
    <row r="760" spans="1:22" x14ac:dyDescent="0.2">
      <c r="B760" s="32" t="s">
        <v>10</v>
      </c>
      <c r="F760" s="33"/>
    </row>
    <row r="761" spans="1:22" x14ac:dyDescent="0.2">
      <c r="A761" s="32">
        <v>1</v>
      </c>
      <c r="B761" s="32" t="s">
        <v>11</v>
      </c>
      <c r="C761" s="32" t="s">
        <v>1846</v>
      </c>
      <c r="D761" s="33">
        <v>1247297917.4266667</v>
      </c>
      <c r="F761" s="33">
        <v>1079524090.5138526</v>
      </c>
      <c r="H761" s="33">
        <v>63397245.301753558</v>
      </c>
      <c r="I761" s="33">
        <v>104376581.61106068</v>
      </c>
      <c r="L761" s="33">
        <v>9544.9029361267021</v>
      </c>
      <c r="N761" s="33">
        <v>104367036.70812455</v>
      </c>
      <c r="O761" s="33">
        <v>32565163.481720846</v>
      </c>
      <c r="P761" s="33">
        <v>71801873.226403698</v>
      </c>
      <c r="Q761" s="33">
        <v>0</v>
      </c>
      <c r="T761" s="33">
        <v>1247297917.4266667</v>
      </c>
      <c r="V761" s="32" t="s">
        <v>12</v>
      </c>
    </row>
    <row r="762" spans="1:22" x14ac:dyDescent="0.2">
      <c r="A762" s="32">
        <v>2</v>
      </c>
      <c r="B762" s="32" t="s">
        <v>13</v>
      </c>
      <c r="C762" s="32" t="s">
        <v>1676</v>
      </c>
      <c r="D762" s="33">
        <v>15482538.333333332</v>
      </c>
      <c r="F762" s="33">
        <v>0</v>
      </c>
      <c r="H762" s="33">
        <v>5850770.3120878944</v>
      </c>
      <c r="I762" s="33">
        <v>9631768.0212454386</v>
      </c>
      <c r="L762" s="33">
        <v>0</v>
      </c>
      <c r="N762" s="33">
        <v>9631768.0212454386</v>
      </c>
      <c r="O762" s="33">
        <v>3005356.0024613743</v>
      </c>
      <c r="P762" s="33">
        <v>6626412.0187840648</v>
      </c>
      <c r="Q762" s="33">
        <v>0</v>
      </c>
      <c r="T762" s="33">
        <v>15482538.333333334</v>
      </c>
    </row>
    <row r="763" spans="1:22" x14ac:dyDescent="0.2">
      <c r="A763" s="32">
        <v>3</v>
      </c>
      <c r="B763" s="32" t="s">
        <v>14</v>
      </c>
      <c r="C763" s="32" t="s">
        <v>1682</v>
      </c>
      <c r="D763" s="33">
        <v>2872593</v>
      </c>
      <c r="F763" s="33">
        <v>0</v>
      </c>
      <c r="H763" s="33">
        <v>0</v>
      </c>
      <c r="I763" s="33">
        <v>2872593</v>
      </c>
      <c r="L763" s="33">
        <v>0</v>
      </c>
      <c r="N763" s="33">
        <v>2872593</v>
      </c>
      <c r="O763" s="33">
        <v>896321.90020936693</v>
      </c>
      <c r="P763" s="33">
        <v>1976271.099790633</v>
      </c>
      <c r="Q763" s="33">
        <v>0</v>
      </c>
      <c r="T763" s="33">
        <v>2872593</v>
      </c>
    </row>
    <row r="764" spans="1:22" x14ac:dyDescent="0.2">
      <c r="A764" s="32">
        <v>4</v>
      </c>
      <c r="B764" s="32" t="s">
        <v>15</v>
      </c>
      <c r="D764" s="33">
        <v>1265653048.7600002</v>
      </c>
      <c r="F764" s="33">
        <v>1079524090.5138526</v>
      </c>
      <c r="H764" s="33">
        <v>69248015.613841459</v>
      </c>
      <c r="I764" s="33">
        <v>116880942.63230611</v>
      </c>
      <c r="L764" s="33">
        <v>9544.9029361267021</v>
      </c>
      <c r="N764" s="33">
        <v>116871397.72936998</v>
      </c>
      <c r="O764" s="33">
        <v>36466841.384391591</v>
      </c>
      <c r="P764" s="33">
        <v>80404556.344978392</v>
      </c>
      <c r="Q764" s="33">
        <v>0</v>
      </c>
      <c r="U764" s="32" t="s">
        <v>721</v>
      </c>
    </row>
    <row r="765" spans="1:22" x14ac:dyDescent="0.2">
      <c r="F765" s="33"/>
    </row>
    <row r="766" spans="1:22" x14ac:dyDescent="0.2">
      <c r="B766" s="32" t="s">
        <v>16</v>
      </c>
      <c r="F766" s="33"/>
    </row>
    <row r="767" spans="1:22" x14ac:dyDescent="0.2">
      <c r="A767" s="32">
        <v>5</v>
      </c>
      <c r="B767" s="32" t="s">
        <v>11</v>
      </c>
      <c r="C767" s="32" t="s">
        <v>1850</v>
      </c>
      <c r="D767" s="33">
        <v>7807864.1799999988</v>
      </c>
      <c r="F767" s="33">
        <v>6757629.7210211167</v>
      </c>
      <c r="H767" s="33">
        <v>396855.53369917948</v>
      </c>
      <c r="I767" s="33">
        <v>653378.92527970287</v>
      </c>
      <c r="L767" s="33">
        <v>59.74940284540493</v>
      </c>
      <c r="N767" s="33">
        <v>653319.17587685748</v>
      </c>
      <c r="O767" s="33">
        <v>203852.15906505467</v>
      </c>
      <c r="P767" s="33">
        <v>449467.01681180287</v>
      </c>
      <c r="Q767" s="33">
        <v>0</v>
      </c>
      <c r="T767" s="33">
        <v>7807864.1799999997</v>
      </c>
      <c r="V767" s="32" t="s">
        <v>12</v>
      </c>
    </row>
    <row r="768" spans="1:22" x14ac:dyDescent="0.2">
      <c r="A768" s="32">
        <v>6</v>
      </c>
      <c r="B768" s="32" t="s">
        <v>13</v>
      </c>
      <c r="C768" s="32" t="s">
        <v>1676</v>
      </c>
      <c r="D768" s="33">
        <v>3252.5</v>
      </c>
      <c r="F768" s="33">
        <v>0</v>
      </c>
      <c r="H768" s="33">
        <v>1229.1027498440474</v>
      </c>
      <c r="I768" s="33">
        <v>2023.3972501559524</v>
      </c>
      <c r="L768" s="33">
        <v>0</v>
      </c>
      <c r="N768" s="33">
        <v>2023.3972501559524</v>
      </c>
      <c r="O768" s="33">
        <v>631.35128023294328</v>
      </c>
      <c r="P768" s="33">
        <v>1392.0459699230091</v>
      </c>
      <c r="Q768" s="33">
        <v>0</v>
      </c>
      <c r="T768" s="33">
        <v>3252.5</v>
      </c>
    </row>
    <row r="769" spans="1:22" x14ac:dyDescent="0.2">
      <c r="A769" s="32">
        <v>7</v>
      </c>
      <c r="B769" s="32" t="s">
        <v>14</v>
      </c>
      <c r="C769" s="32" t="s">
        <v>1682</v>
      </c>
      <c r="D769" s="33">
        <v>947.5</v>
      </c>
      <c r="F769" s="33">
        <v>0</v>
      </c>
      <c r="H769" s="33">
        <v>0</v>
      </c>
      <c r="I769" s="33">
        <v>947.5</v>
      </c>
      <c r="L769" s="33">
        <v>0</v>
      </c>
      <c r="N769" s="33">
        <v>947.5</v>
      </c>
      <c r="O769" s="33">
        <v>295.64404022720072</v>
      </c>
      <c r="P769" s="33">
        <v>651.85595977279922</v>
      </c>
      <c r="Q769" s="33">
        <v>0</v>
      </c>
      <c r="T769" s="33">
        <v>947.5</v>
      </c>
    </row>
    <row r="770" spans="1:22" x14ac:dyDescent="0.2">
      <c r="A770" s="32">
        <v>8</v>
      </c>
      <c r="B770" s="32" t="s">
        <v>17</v>
      </c>
      <c r="D770" s="33">
        <v>7812064.1799999988</v>
      </c>
      <c r="F770" s="33">
        <v>6757629.7210211167</v>
      </c>
      <c r="H770" s="33">
        <v>398084.6364490235</v>
      </c>
      <c r="I770" s="33">
        <v>656349.82252985891</v>
      </c>
      <c r="L770" s="33">
        <v>59.74940284540493</v>
      </c>
      <c r="N770" s="33">
        <v>656290.07312701351</v>
      </c>
      <c r="O770" s="33">
        <v>204779.15438551482</v>
      </c>
      <c r="P770" s="33">
        <v>451510.91874149867</v>
      </c>
      <c r="Q770" s="33">
        <v>0</v>
      </c>
      <c r="U770" s="32" t="s">
        <v>721</v>
      </c>
    </row>
    <row r="771" spans="1:22" x14ac:dyDescent="0.2">
      <c r="F771" s="33"/>
    </row>
    <row r="772" spans="1:22" x14ac:dyDescent="0.2">
      <c r="B772" s="32" t="s">
        <v>18</v>
      </c>
      <c r="F772" s="33"/>
    </row>
    <row r="773" spans="1:22" x14ac:dyDescent="0.2">
      <c r="A773" s="32">
        <v>9</v>
      </c>
      <c r="B773" s="32" t="s">
        <v>11</v>
      </c>
      <c r="C773" s="32" t="s">
        <v>1852</v>
      </c>
      <c r="D773" s="33">
        <v>178845192.44000003</v>
      </c>
      <c r="F773" s="33">
        <v>154788756.57059464</v>
      </c>
      <c r="H773" s="33">
        <v>9090284.1877186261</v>
      </c>
      <c r="I773" s="33">
        <v>14966151.68168677</v>
      </c>
      <c r="L773" s="33">
        <v>1368.6064721045811</v>
      </c>
      <c r="N773" s="33">
        <v>14964783.075214665</v>
      </c>
      <c r="O773" s="33">
        <v>4669392.01000538</v>
      </c>
      <c r="P773" s="33">
        <v>10295391.065209286</v>
      </c>
      <c r="Q773" s="33">
        <v>0</v>
      </c>
      <c r="T773" s="33">
        <v>178845192.44000003</v>
      </c>
      <c r="V773" s="32" t="s">
        <v>12</v>
      </c>
    </row>
    <row r="774" spans="1:22" x14ac:dyDescent="0.2">
      <c r="A774" s="32">
        <v>10</v>
      </c>
      <c r="B774" s="32" t="s">
        <v>13</v>
      </c>
      <c r="C774" s="32" t="s">
        <v>1676</v>
      </c>
      <c r="D774" s="33">
        <v>1236.75</v>
      </c>
      <c r="F774" s="33">
        <v>0</v>
      </c>
      <c r="H774" s="33">
        <v>467.36136075930074</v>
      </c>
      <c r="I774" s="33">
        <v>769.38863924069915</v>
      </c>
      <c r="L774" s="33">
        <v>0</v>
      </c>
      <c r="N774" s="33">
        <v>769.38863924069915</v>
      </c>
      <c r="O774" s="33">
        <v>240.06877658050502</v>
      </c>
      <c r="P774" s="33">
        <v>529.31986266019419</v>
      </c>
      <c r="Q774" s="33">
        <v>0</v>
      </c>
      <c r="T774" s="33">
        <v>1236.75</v>
      </c>
    </row>
    <row r="775" spans="1:22" x14ac:dyDescent="0.2">
      <c r="A775" s="32">
        <v>11</v>
      </c>
      <c r="B775" s="32" t="s">
        <v>14</v>
      </c>
      <c r="C775" s="32" t="s">
        <v>1682</v>
      </c>
      <c r="D775" s="33">
        <v>889035.5</v>
      </c>
      <c r="F775" s="33">
        <v>0</v>
      </c>
      <c r="H775" s="33">
        <v>0</v>
      </c>
      <c r="I775" s="33">
        <v>889035.5</v>
      </c>
      <c r="L775" s="33">
        <v>0</v>
      </c>
      <c r="N775" s="33">
        <v>889035.5</v>
      </c>
      <c r="O775" s="33">
        <v>277401.63285003643</v>
      </c>
      <c r="P775" s="33">
        <v>611633.86714996351</v>
      </c>
      <c r="Q775" s="33">
        <v>0</v>
      </c>
      <c r="T775" s="33">
        <v>889035.5</v>
      </c>
    </row>
    <row r="776" spans="1:22" x14ac:dyDescent="0.2">
      <c r="A776" s="32">
        <v>12</v>
      </c>
      <c r="B776" s="32" t="s">
        <v>19</v>
      </c>
      <c r="D776" s="33">
        <v>179735464.69000003</v>
      </c>
      <c r="F776" s="33">
        <v>154788756.57059464</v>
      </c>
      <c r="H776" s="33">
        <v>9090751.5490793847</v>
      </c>
      <c r="I776" s="33">
        <v>15855956.570326012</v>
      </c>
      <c r="L776" s="33">
        <v>1368.6064721045811</v>
      </c>
      <c r="N776" s="33">
        <v>15854587.963853907</v>
      </c>
      <c r="O776" s="33">
        <v>4947033.7116319966</v>
      </c>
      <c r="P776" s="33">
        <v>10907554.25222191</v>
      </c>
      <c r="Q776" s="33">
        <v>0</v>
      </c>
      <c r="U776" s="32" t="s">
        <v>721</v>
      </c>
    </row>
    <row r="777" spans="1:22" x14ac:dyDescent="0.2">
      <c r="F777" s="33"/>
    </row>
    <row r="778" spans="1:22" x14ac:dyDescent="0.2">
      <c r="A778" s="32">
        <v>13</v>
      </c>
      <c r="B778" s="32" t="s">
        <v>20</v>
      </c>
      <c r="D778" s="33">
        <v>1453200577.6300001</v>
      </c>
      <c r="F778" s="33">
        <v>1241070476.8054683</v>
      </c>
      <c r="H778" s="33">
        <v>78736851.799369872</v>
      </c>
      <c r="I778" s="33">
        <v>133393249.02516197</v>
      </c>
      <c r="L778" s="33">
        <v>10973.258811076688</v>
      </c>
      <c r="N778" s="33">
        <v>133382275.7663509</v>
      </c>
      <c r="O778" s="33">
        <v>41618654.250409104</v>
      </c>
      <c r="P778" s="33">
        <v>91763621.515941799</v>
      </c>
      <c r="Q778" s="33">
        <v>0</v>
      </c>
    </row>
    <row r="779" spans="1:22" x14ac:dyDescent="0.2">
      <c r="F779" s="33"/>
    </row>
    <row r="780" spans="1:22" x14ac:dyDescent="0.2">
      <c r="B780" s="32" t="s">
        <v>21</v>
      </c>
      <c r="F780" s="33"/>
    </row>
    <row r="781" spans="1:22" x14ac:dyDescent="0.2">
      <c r="A781" s="32">
        <v>14</v>
      </c>
      <c r="B781" s="32" t="s">
        <v>1362</v>
      </c>
      <c r="C781" s="32" t="s">
        <v>1854</v>
      </c>
      <c r="D781" s="33">
        <v>296820640.15297103</v>
      </c>
      <c r="F781" s="33">
        <v>254981612.51285821</v>
      </c>
      <c r="H781" s="33">
        <v>15550572.166463915</v>
      </c>
      <c r="I781" s="33">
        <v>26288455.473648921</v>
      </c>
      <c r="L781" s="33">
        <v>2254.4885874421084</v>
      </c>
      <c r="N781" s="33">
        <v>26286200.985061478</v>
      </c>
      <c r="O781" s="33">
        <v>8201961.6479660133</v>
      </c>
      <c r="P781" s="33">
        <v>18084239.337095466</v>
      </c>
      <c r="Q781" s="33">
        <v>0</v>
      </c>
      <c r="T781" s="33">
        <v>296820640.15297103</v>
      </c>
      <c r="V781" s="32" t="s">
        <v>12</v>
      </c>
    </row>
    <row r="782" spans="1:22" x14ac:dyDescent="0.2">
      <c r="A782" s="32">
        <v>15</v>
      </c>
      <c r="B782" s="32" t="s">
        <v>1365</v>
      </c>
      <c r="C782" s="32" t="s">
        <v>1759</v>
      </c>
      <c r="D782" s="33">
        <v>27212125.097029004</v>
      </c>
      <c r="F782" s="33">
        <v>3872986.8546178187</v>
      </c>
      <c r="H782" s="33">
        <v>22962328.923031393</v>
      </c>
      <c r="I782" s="33">
        <v>376809.31937978999</v>
      </c>
      <c r="L782" s="33">
        <v>34.244056177222824</v>
      </c>
      <c r="N782" s="33">
        <v>376775.07532361278</v>
      </c>
      <c r="O782" s="33">
        <v>117563.38314045461</v>
      </c>
      <c r="P782" s="33">
        <v>259211.69218315816</v>
      </c>
      <c r="Q782" s="33">
        <v>0</v>
      </c>
      <c r="T782" s="33">
        <v>27212125.097029001</v>
      </c>
    </row>
    <row r="783" spans="1:22" x14ac:dyDescent="0.2">
      <c r="A783" s="32">
        <v>16</v>
      </c>
      <c r="B783" s="32" t="s">
        <v>1353</v>
      </c>
      <c r="C783" s="32" t="s">
        <v>1691</v>
      </c>
      <c r="D783" s="33">
        <v>2585483.5</v>
      </c>
      <c r="F783" s="33">
        <v>0</v>
      </c>
      <c r="H783" s="33">
        <v>977040.70085362403</v>
      </c>
      <c r="I783" s="33">
        <v>1608442.7991463759</v>
      </c>
      <c r="L783" s="33">
        <v>0</v>
      </c>
      <c r="N783" s="33">
        <v>1608442.7991463759</v>
      </c>
      <c r="O783" s="33">
        <v>501874.96318098414</v>
      </c>
      <c r="P783" s="33">
        <v>1106567.8359653917</v>
      </c>
      <c r="Q783" s="33">
        <v>0</v>
      </c>
      <c r="T783" s="33">
        <v>2585483.5</v>
      </c>
    </row>
    <row r="784" spans="1:22" x14ac:dyDescent="0.2">
      <c r="A784" s="32">
        <v>17</v>
      </c>
      <c r="B784" s="32" t="s">
        <v>1354</v>
      </c>
      <c r="C784" s="32" t="s">
        <v>1693</v>
      </c>
      <c r="D784" s="33">
        <v>166226.5</v>
      </c>
      <c r="F784" s="33">
        <v>0</v>
      </c>
      <c r="H784" s="33">
        <v>0</v>
      </c>
      <c r="I784" s="33">
        <v>166226.5</v>
      </c>
      <c r="L784" s="33">
        <v>0</v>
      </c>
      <c r="N784" s="33">
        <v>166226.5</v>
      </c>
      <c r="O784" s="33">
        <v>51866.885543880504</v>
      </c>
      <c r="P784" s="33">
        <v>114359.61445611948</v>
      </c>
      <c r="Q784" s="33">
        <v>0</v>
      </c>
      <c r="T784" s="33">
        <v>166226.5</v>
      </c>
    </row>
    <row r="785" spans="1:22" x14ac:dyDescent="0.2">
      <c r="A785" s="32">
        <v>18</v>
      </c>
      <c r="B785" s="32" t="s">
        <v>22</v>
      </c>
      <c r="D785" s="33">
        <v>326784475.25</v>
      </c>
      <c r="F785" s="33">
        <v>258854599.36747602</v>
      </c>
      <c r="H785" s="33">
        <v>39489941.790348932</v>
      </c>
      <c r="I785" s="33">
        <v>28439934.092175089</v>
      </c>
      <c r="L785" s="33">
        <v>2288.7326436193312</v>
      </c>
      <c r="N785" s="33">
        <v>28437645.35953147</v>
      </c>
      <c r="O785" s="33">
        <v>8873266.8798313327</v>
      </c>
      <c r="P785" s="33">
        <v>19564378.479700137</v>
      </c>
      <c r="Q785" s="33">
        <v>0</v>
      </c>
      <c r="U785" s="32" t="s">
        <v>721</v>
      </c>
    </row>
    <row r="786" spans="1:22" x14ac:dyDescent="0.2">
      <c r="F786" s="33"/>
    </row>
    <row r="787" spans="1:22" x14ac:dyDescent="0.2">
      <c r="A787" s="32">
        <v>19</v>
      </c>
      <c r="B787" s="32" t="s">
        <v>2580</v>
      </c>
      <c r="C787" s="32" t="s">
        <v>1782</v>
      </c>
      <c r="D787" s="33">
        <v>37401886.039999999</v>
      </c>
      <c r="F787" s="33">
        <v>0</v>
      </c>
      <c r="H787" s="33">
        <v>37260617.079999998</v>
      </c>
      <c r="I787" s="33">
        <v>141268.96</v>
      </c>
      <c r="L787" s="33">
        <v>141268.96</v>
      </c>
      <c r="N787" s="33">
        <v>0</v>
      </c>
      <c r="O787" s="33">
        <v>0</v>
      </c>
      <c r="P787" s="33">
        <v>0</v>
      </c>
      <c r="Q787" s="33">
        <v>0</v>
      </c>
      <c r="T787" s="33">
        <v>37401886.039999999</v>
      </c>
    </row>
    <row r="788" spans="1:22" x14ac:dyDescent="0.2">
      <c r="A788" s="32">
        <v>20</v>
      </c>
      <c r="B788" s="32" t="s">
        <v>2581</v>
      </c>
      <c r="C788" s="32" t="s">
        <v>1862</v>
      </c>
      <c r="D788" s="33">
        <v>527227586.80000001</v>
      </c>
      <c r="F788" s="33">
        <v>525543760.41339171</v>
      </c>
      <c r="H788" s="33">
        <v>0</v>
      </c>
      <c r="I788" s="33">
        <v>1683826.3866083277</v>
      </c>
      <c r="L788" s="33">
        <v>0</v>
      </c>
      <c r="N788" s="33">
        <v>1683826.3866083277</v>
      </c>
      <c r="O788" s="33">
        <v>1446981.3739916002</v>
      </c>
      <c r="P788" s="33">
        <v>236845.01261672738</v>
      </c>
      <c r="Q788" s="33">
        <v>0</v>
      </c>
      <c r="T788" s="33">
        <v>527227586.80000001</v>
      </c>
      <c r="V788" s="32" t="s">
        <v>12</v>
      </c>
    </row>
    <row r="789" spans="1:22" x14ac:dyDescent="0.2">
      <c r="A789" s="32">
        <v>21</v>
      </c>
      <c r="B789" s="32" t="s">
        <v>23</v>
      </c>
      <c r="D789" s="33">
        <v>564629472.84000003</v>
      </c>
      <c r="F789" s="33">
        <v>525543760.41339171</v>
      </c>
      <c r="H789" s="33">
        <v>37260617.079999998</v>
      </c>
      <c r="I789" s="33">
        <v>1825095.3466083277</v>
      </c>
      <c r="L789" s="33">
        <v>141268.96</v>
      </c>
      <c r="N789" s="33">
        <v>1683826.3866083277</v>
      </c>
      <c r="O789" s="33">
        <v>1446981.3739916002</v>
      </c>
      <c r="P789" s="33">
        <v>236845.01261672738</v>
      </c>
      <c r="Q789" s="33">
        <v>0</v>
      </c>
      <c r="U789" s="32" t="s">
        <v>721</v>
      </c>
    </row>
    <row r="790" spans="1:22" x14ac:dyDescent="0.2">
      <c r="F790" s="33"/>
    </row>
    <row r="791" spans="1:22" x14ac:dyDescent="0.2">
      <c r="A791" s="32">
        <v>22</v>
      </c>
      <c r="B791" s="32" t="s">
        <v>24</v>
      </c>
      <c r="C791" s="32" t="s">
        <v>1864</v>
      </c>
      <c r="D791" s="33">
        <v>55605423.129999988</v>
      </c>
      <c r="F791" s="33">
        <v>49454285.943987392</v>
      </c>
      <c r="H791" s="33">
        <v>3046787.1675292323</v>
      </c>
      <c r="I791" s="33">
        <v>3104350.0184833664</v>
      </c>
      <c r="L791" s="33">
        <v>1707.0103552906392</v>
      </c>
      <c r="N791" s="33">
        <v>3102643.0081280759</v>
      </c>
      <c r="O791" s="33">
        <v>1007932.5614127105</v>
      </c>
      <c r="P791" s="33">
        <v>2094710.4467153654</v>
      </c>
      <c r="Q791" s="33">
        <v>3.4796815635722947E-12</v>
      </c>
      <c r="T791" s="33">
        <v>55605423.129999995</v>
      </c>
      <c r="V791" s="32" t="s">
        <v>12</v>
      </c>
    </row>
    <row r="792" spans="1:22" x14ac:dyDescent="0.2">
      <c r="F792" s="33"/>
    </row>
    <row r="793" spans="1:22" x14ac:dyDescent="0.2">
      <c r="A793" s="32">
        <v>23</v>
      </c>
      <c r="B793" s="32" t="s">
        <v>25</v>
      </c>
      <c r="C793" s="32" t="s">
        <v>2456</v>
      </c>
      <c r="D793" s="33">
        <v>34534.550000000003</v>
      </c>
      <c r="F793" s="33">
        <v>34534.550000000003</v>
      </c>
      <c r="H793" s="33">
        <v>0</v>
      </c>
      <c r="I793" s="33">
        <v>0</v>
      </c>
      <c r="L793" s="33">
        <v>0</v>
      </c>
      <c r="N793" s="33">
        <v>0</v>
      </c>
      <c r="O793" s="33">
        <v>0</v>
      </c>
      <c r="P793" s="33">
        <v>0</v>
      </c>
      <c r="Q793" s="33">
        <v>0</v>
      </c>
      <c r="T793" s="33">
        <v>34534.550000000003</v>
      </c>
      <c r="V793" s="32" t="s">
        <v>2582</v>
      </c>
    </row>
    <row r="794" spans="1:22" x14ac:dyDescent="0.2">
      <c r="A794" s="32">
        <v>24</v>
      </c>
      <c r="B794" s="32" t="s">
        <v>26</v>
      </c>
      <c r="C794" s="32" t="s">
        <v>2457</v>
      </c>
      <c r="D794" s="33">
        <v>19031719.870000001</v>
      </c>
      <c r="F794" s="33">
        <v>16570803.046553809</v>
      </c>
      <c r="H794" s="33">
        <v>1130380.1292264219</v>
      </c>
      <c r="I794" s="33">
        <v>1330536.6942197701</v>
      </c>
      <c r="L794" s="33">
        <v>600.11499748336064</v>
      </c>
      <c r="N794" s="33">
        <v>1329936.5792222868</v>
      </c>
      <c r="O794" s="33">
        <v>422269.74460426945</v>
      </c>
      <c r="P794" s="33">
        <v>907666.83461801743</v>
      </c>
      <c r="Q794" s="33">
        <v>2.5938860534287354E-14</v>
      </c>
      <c r="T794" s="33">
        <v>19031719.870000001</v>
      </c>
      <c r="V794" s="32" t="s">
        <v>12</v>
      </c>
    </row>
    <row r="795" spans="1:22" x14ac:dyDescent="0.2">
      <c r="F795" s="33"/>
    </row>
    <row r="796" spans="1:22" x14ac:dyDescent="0.2">
      <c r="A796" s="32">
        <v>25</v>
      </c>
      <c r="B796" s="32" t="s">
        <v>27</v>
      </c>
      <c r="D796" s="33">
        <v>2419286203.2700005</v>
      </c>
      <c r="F796" s="33">
        <v>2091528460.1268773</v>
      </c>
      <c r="H796" s="33">
        <v>159664577.96647444</v>
      </c>
      <c r="I796" s="33">
        <v>168093165.17664853</v>
      </c>
      <c r="L796" s="33">
        <v>156838.07680747</v>
      </c>
      <c r="N796" s="33">
        <v>167936327.09984106</v>
      </c>
      <c r="O796" s="33">
        <v>53369104.810249016</v>
      </c>
      <c r="P796" s="33">
        <v>114567222.28959204</v>
      </c>
      <c r="Q796" s="33">
        <v>3.5056204241065819E-12</v>
      </c>
      <c r="U796" s="32" t="s">
        <v>721</v>
      </c>
    </row>
    <row r="797" spans="1:22" x14ac:dyDescent="0.2">
      <c r="F797" s="33"/>
    </row>
    <row r="798" spans="1:22" x14ac:dyDescent="0.2">
      <c r="A798" s="32">
        <v>26</v>
      </c>
      <c r="B798" s="32" t="s">
        <v>34</v>
      </c>
      <c r="D798" s="33">
        <v>4073283819.250001</v>
      </c>
      <c r="F798" s="33">
        <v>3561520105.9314809</v>
      </c>
      <c r="H798" s="33">
        <v>225955270.45836845</v>
      </c>
      <c r="I798" s="33">
        <v>285808442.86015201</v>
      </c>
      <c r="L798" s="33">
        <v>47886.199905867747</v>
      </c>
      <c r="N798" s="33">
        <v>285760556.66024613</v>
      </c>
      <c r="O798" s="33">
        <v>90684732.211932525</v>
      </c>
      <c r="P798" s="33">
        <v>195075824.44831359</v>
      </c>
      <c r="Q798" s="33">
        <v>5.3432076903705236E-12</v>
      </c>
    </row>
    <row r="799" spans="1:22" x14ac:dyDescent="0.2">
      <c r="F799" s="33"/>
    </row>
    <row r="800" spans="1:22" x14ac:dyDescent="0.2">
      <c r="F800" s="33"/>
    </row>
    <row r="801" spans="1:20" x14ac:dyDescent="0.2">
      <c r="B801" s="32" t="s">
        <v>28</v>
      </c>
      <c r="F801" s="33"/>
    </row>
    <row r="802" spans="1:20" x14ac:dyDescent="0.2">
      <c r="F802" s="33"/>
    </row>
    <row r="803" spans="1:20" x14ac:dyDescent="0.2">
      <c r="B803" s="32" t="s">
        <v>1409</v>
      </c>
      <c r="F803" s="33"/>
    </row>
    <row r="804" spans="1:20" x14ac:dyDescent="0.2">
      <c r="F804" s="33"/>
    </row>
    <row r="805" spans="1:20" x14ac:dyDescent="0.2">
      <c r="B805" s="32" t="s">
        <v>9</v>
      </c>
      <c r="F805" s="33"/>
    </row>
    <row r="806" spans="1:20" x14ac:dyDescent="0.2">
      <c r="A806" s="32">
        <v>1</v>
      </c>
      <c r="B806" s="32" t="s">
        <v>1410</v>
      </c>
      <c r="C806" s="32" t="s">
        <v>602</v>
      </c>
      <c r="D806" s="33">
        <v>265520100.28000033</v>
      </c>
      <c r="F806" s="33">
        <v>229805037.56414443</v>
      </c>
      <c r="H806" s="33">
        <v>13495767.686942417</v>
      </c>
      <c r="I806" s="33">
        <v>22219295.028913476</v>
      </c>
      <c r="L806" s="33">
        <v>2031.883120587537</v>
      </c>
      <c r="N806" s="33">
        <v>22217263.145792887</v>
      </c>
      <c r="O806" s="33">
        <v>6932349.8039188348</v>
      </c>
      <c r="P806" s="33">
        <v>15284913.34187405</v>
      </c>
      <c r="Q806" s="33">
        <v>0</v>
      </c>
      <c r="T806" s="33">
        <v>265520100.28000033</v>
      </c>
    </row>
    <row r="807" spans="1:20" x14ac:dyDescent="0.2">
      <c r="A807" s="32">
        <v>2</v>
      </c>
      <c r="B807" s="32" t="s">
        <v>1411</v>
      </c>
      <c r="C807" s="32" t="s">
        <v>1676</v>
      </c>
      <c r="D807" s="33">
        <v>0</v>
      </c>
      <c r="F807" s="33">
        <v>0</v>
      </c>
      <c r="H807" s="33">
        <v>0</v>
      </c>
      <c r="I807" s="33">
        <v>0</v>
      </c>
      <c r="L807" s="33">
        <v>0</v>
      </c>
      <c r="N807" s="33">
        <v>0</v>
      </c>
      <c r="O807" s="33">
        <v>0</v>
      </c>
      <c r="P807" s="33">
        <v>0</v>
      </c>
      <c r="Q807" s="33">
        <v>0</v>
      </c>
      <c r="T807" s="33">
        <v>0</v>
      </c>
    </row>
    <row r="808" spans="1:20" x14ac:dyDescent="0.2">
      <c r="A808" s="32">
        <v>3</v>
      </c>
      <c r="B808" s="32" t="s">
        <v>1412</v>
      </c>
      <c r="C808" s="32" t="s">
        <v>1682</v>
      </c>
      <c r="D808" s="33">
        <v>332113.38000000129</v>
      </c>
      <c r="F808" s="33">
        <v>0</v>
      </c>
      <c r="H808" s="33">
        <v>0</v>
      </c>
      <c r="I808" s="33">
        <v>332113.38000000129</v>
      </c>
      <c r="L808" s="33">
        <v>0</v>
      </c>
      <c r="N808" s="33">
        <v>332113.38000000129</v>
      </c>
      <c r="O808" s="33">
        <v>103627.8010308306</v>
      </c>
      <c r="P808" s="33">
        <v>228485.57896917072</v>
      </c>
      <c r="Q808" s="33">
        <v>0</v>
      </c>
      <c r="T808" s="33">
        <v>332113.38000000134</v>
      </c>
    </row>
    <row r="809" spans="1:20" x14ac:dyDescent="0.2">
      <c r="A809" s="32">
        <v>4</v>
      </c>
      <c r="B809" s="32" t="s">
        <v>1413</v>
      </c>
      <c r="D809" s="33">
        <v>265852213.66000032</v>
      </c>
      <c r="F809" s="33">
        <v>229805037.56414443</v>
      </c>
      <c r="H809" s="33">
        <v>13495767.686942417</v>
      </c>
      <c r="I809" s="33">
        <v>22551408.408913475</v>
      </c>
      <c r="L809" s="33">
        <v>2031.883120587537</v>
      </c>
      <c r="N809" s="33">
        <v>22549376.525792886</v>
      </c>
      <c r="O809" s="33">
        <v>7035977.6049496653</v>
      </c>
      <c r="P809" s="33">
        <v>15513398.920843221</v>
      </c>
      <c r="Q809" s="33">
        <v>0</v>
      </c>
    </row>
    <row r="810" spans="1:20" x14ac:dyDescent="0.2">
      <c r="F810" s="33"/>
    </row>
    <row r="811" spans="1:20" x14ac:dyDescent="0.2">
      <c r="B811" s="32" t="s">
        <v>21</v>
      </c>
      <c r="F811" s="33"/>
    </row>
    <row r="812" spans="1:20" x14ac:dyDescent="0.2">
      <c r="A812" s="32">
        <v>5</v>
      </c>
      <c r="B812" s="32" t="s">
        <v>1410</v>
      </c>
      <c r="C812" s="32" t="s">
        <v>1854</v>
      </c>
      <c r="D812" s="33">
        <v>42124235.740000039</v>
      </c>
      <c r="F812" s="33">
        <v>36186518.394817472</v>
      </c>
      <c r="H812" s="33">
        <v>2206908.4127519433</v>
      </c>
      <c r="I812" s="33">
        <v>3730808.9324306287</v>
      </c>
      <c r="L812" s="33">
        <v>319.95284654600687</v>
      </c>
      <c r="N812" s="33">
        <v>3730488.9795840825</v>
      </c>
      <c r="O812" s="33">
        <v>1164007.212609272</v>
      </c>
      <c r="P812" s="33">
        <v>2566481.7669748105</v>
      </c>
      <c r="Q812" s="33">
        <v>0</v>
      </c>
      <c r="T812" s="33">
        <v>42124235.740000039</v>
      </c>
    </row>
    <row r="813" spans="1:20" x14ac:dyDescent="0.2">
      <c r="A813" s="32">
        <v>6</v>
      </c>
      <c r="B813" s="32" t="s">
        <v>1414</v>
      </c>
      <c r="C813" s="32" t="s">
        <v>1854</v>
      </c>
      <c r="D813" s="33">
        <v>0</v>
      </c>
      <c r="F813" s="33">
        <v>0</v>
      </c>
      <c r="H813" s="33">
        <v>0</v>
      </c>
      <c r="I813" s="33">
        <v>0</v>
      </c>
      <c r="L813" s="33">
        <v>0</v>
      </c>
      <c r="N813" s="33">
        <v>0</v>
      </c>
      <c r="O813" s="33">
        <v>0</v>
      </c>
      <c r="P813" s="33">
        <v>0</v>
      </c>
      <c r="Q813" s="33">
        <v>0</v>
      </c>
      <c r="T813" s="33">
        <v>0</v>
      </c>
    </row>
    <row r="814" spans="1:20" x14ac:dyDescent="0.2">
      <c r="A814" s="32">
        <v>7</v>
      </c>
      <c r="B814" s="32" t="s">
        <v>1415</v>
      </c>
      <c r="C814" s="32" t="s">
        <v>1856</v>
      </c>
      <c r="D814" s="33">
        <v>908362.5</v>
      </c>
      <c r="F814" s="33">
        <v>0</v>
      </c>
      <c r="H814" s="33">
        <v>908269.95928627369</v>
      </c>
      <c r="I814" s="33">
        <v>92.540713726362441</v>
      </c>
      <c r="L814" s="33">
        <v>0</v>
      </c>
      <c r="N814" s="33">
        <v>92.540713726362441</v>
      </c>
      <c r="O814" s="33">
        <v>28.875050650734103</v>
      </c>
      <c r="P814" s="33">
        <v>63.665663075628338</v>
      </c>
      <c r="Q814" s="33">
        <v>0</v>
      </c>
      <c r="T814" s="33">
        <v>908362.50000000012</v>
      </c>
    </row>
    <row r="815" spans="1:20" x14ac:dyDescent="0.2">
      <c r="A815" s="32">
        <v>8</v>
      </c>
      <c r="B815" s="32" t="s">
        <v>1411</v>
      </c>
      <c r="C815" s="32" t="s">
        <v>1691</v>
      </c>
      <c r="D815" s="33">
        <v>0</v>
      </c>
      <c r="F815" s="33">
        <v>0</v>
      </c>
      <c r="H815" s="33">
        <v>0</v>
      </c>
      <c r="I815" s="33">
        <v>0</v>
      </c>
      <c r="L815" s="33">
        <v>0</v>
      </c>
      <c r="N815" s="33">
        <v>0</v>
      </c>
      <c r="O815" s="33">
        <v>0</v>
      </c>
      <c r="P815" s="33">
        <v>0</v>
      </c>
      <c r="Q815" s="33">
        <v>0</v>
      </c>
      <c r="T815" s="33">
        <v>0</v>
      </c>
    </row>
    <row r="816" spans="1:20" x14ac:dyDescent="0.2">
      <c r="A816" s="32">
        <v>9</v>
      </c>
      <c r="B816" s="32" t="s">
        <v>1412</v>
      </c>
      <c r="C816" s="32" t="s">
        <v>1693</v>
      </c>
      <c r="D816" s="33">
        <v>8716.3099999999977</v>
      </c>
      <c r="F816" s="33">
        <v>0</v>
      </c>
      <c r="H816" s="33">
        <v>0</v>
      </c>
      <c r="I816" s="33">
        <v>8716.3099999999977</v>
      </c>
      <c r="L816" s="33">
        <v>0</v>
      </c>
      <c r="N816" s="33">
        <v>8716.3099999999977</v>
      </c>
      <c r="O816" s="33">
        <v>2719.7098725833785</v>
      </c>
      <c r="P816" s="33">
        <v>5996.6001274166183</v>
      </c>
      <c r="Q816" s="33">
        <v>0</v>
      </c>
      <c r="T816" s="33">
        <v>8716.3099999999977</v>
      </c>
    </row>
    <row r="817" spans="1:26" x14ac:dyDescent="0.2">
      <c r="A817" s="32">
        <v>10</v>
      </c>
      <c r="B817" s="32" t="s">
        <v>1416</v>
      </c>
      <c r="D817" s="33">
        <v>43041314.550000042</v>
      </c>
      <c r="F817" s="33">
        <v>36186518.394817472</v>
      </c>
      <c r="H817" s="33">
        <v>3115178.3720382173</v>
      </c>
      <c r="I817" s="33">
        <v>3739617.7831443553</v>
      </c>
      <c r="L817" s="33">
        <v>319.95284654600687</v>
      </c>
      <c r="N817" s="33">
        <v>3739297.8302978091</v>
      </c>
      <c r="O817" s="33">
        <v>1166755.7975325061</v>
      </c>
      <c r="P817" s="33">
        <v>2572542.0327653028</v>
      </c>
      <c r="Q817" s="33">
        <v>0</v>
      </c>
      <c r="W817" s="32" t="s">
        <v>1417</v>
      </c>
    </row>
    <row r="818" spans="1:26" x14ac:dyDescent="0.2">
      <c r="D818" s="33">
        <v>308893528.2100004</v>
      </c>
      <c r="F818" s="33"/>
      <c r="N818" s="33">
        <v>26288674.356090695</v>
      </c>
      <c r="U818" s="32">
        <v>8.5105940899540031E-2</v>
      </c>
      <c r="W818" s="32" t="s">
        <v>1419</v>
      </c>
    </row>
    <row r="819" spans="1:26" x14ac:dyDescent="0.2">
      <c r="A819" s="32">
        <v>11</v>
      </c>
      <c r="B819" s="32" t="s">
        <v>1418</v>
      </c>
      <c r="C819" s="32" t="s">
        <v>1784</v>
      </c>
      <c r="D819" s="33">
        <v>1166386.3899999994</v>
      </c>
      <c r="F819" s="33">
        <v>0</v>
      </c>
      <c r="H819" s="33">
        <v>1166386.3899999994</v>
      </c>
      <c r="I819" s="33">
        <v>0</v>
      </c>
      <c r="L819" s="33">
        <v>0</v>
      </c>
      <c r="N819" s="33">
        <v>0</v>
      </c>
      <c r="O819" s="33">
        <v>0</v>
      </c>
      <c r="P819" s="33">
        <v>0</v>
      </c>
      <c r="Q819" s="33">
        <v>0</v>
      </c>
      <c r="T819" s="33">
        <v>1166386.3899999994</v>
      </c>
    </row>
    <row r="820" spans="1:26" x14ac:dyDescent="0.2">
      <c r="A820" s="32">
        <v>12</v>
      </c>
      <c r="B820" s="32" t="s">
        <v>2583</v>
      </c>
      <c r="C820" s="32" t="s">
        <v>1862</v>
      </c>
      <c r="D820" s="33">
        <v>21264678.32</v>
      </c>
      <c r="F820" s="33">
        <v>21196764.524602309</v>
      </c>
      <c r="H820" s="33">
        <v>0</v>
      </c>
      <c r="I820" s="33">
        <v>67913.795397691894</v>
      </c>
      <c r="L820" s="33">
        <v>0</v>
      </c>
      <c r="N820" s="33">
        <v>67913.795397691894</v>
      </c>
      <c r="O820" s="33">
        <v>58361.121882332794</v>
      </c>
      <c r="P820" s="33">
        <v>9552.6735153590962</v>
      </c>
      <c r="Q820" s="33">
        <v>0</v>
      </c>
      <c r="T820" s="33">
        <v>21264678.32</v>
      </c>
    </row>
    <row r="821" spans="1:26" x14ac:dyDescent="0.2">
      <c r="A821" s="32">
        <v>13</v>
      </c>
      <c r="B821" s="32" t="s">
        <v>1420</v>
      </c>
      <c r="D821" s="33">
        <v>22431064.710000001</v>
      </c>
      <c r="F821" s="33">
        <v>21196764.524602309</v>
      </c>
      <c r="H821" s="33">
        <v>1166386.3899999994</v>
      </c>
      <c r="I821" s="33">
        <v>67913.795397691894</v>
      </c>
      <c r="L821" s="33">
        <v>0</v>
      </c>
      <c r="N821" s="33">
        <v>67913.795397691894</v>
      </c>
      <c r="O821" s="33">
        <v>58361.121882332794</v>
      </c>
      <c r="P821" s="33">
        <v>9552.6735153590962</v>
      </c>
      <c r="Q821" s="33">
        <v>0</v>
      </c>
    </row>
    <row r="822" spans="1:26" x14ac:dyDescent="0.2">
      <c r="F822" s="33"/>
    </row>
    <row r="823" spans="1:26" x14ac:dyDescent="0.2">
      <c r="A823" s="32">
        <v>14</v>
      </c>
      <c r="B823" s="32" t="s">
        <v>1421</v>
      </c>
      <c r="C823" s="32" t="s">
        <v>1864</v>
      </c>
      <c r="D823" s="33">
        <v>13913845.399999997</v>
      </c>
      <c r="F823" s="33">
        <v>12374679.4873465</v>
      </c>
      <c r="H823" s="33">
        <v>762381.135318332</v>
      </c>
      <c r="I823" s="33">
        <v>776784.7773351653</v>
      </c>
      <c r="L823" s="33">
        <v>427.13600297915804</v>
      </c>
      <c r="N823" s="33">
        <v>776357.64133218618</v>
      </c>
      <c r="O823" s="33">
        <v>252209.53359774314</v>
      </c>
      <c r="P823" s="33">
        <v>524148.10773444304</v>
      </c>
      <c r="Q823" s="33">
        <v>8.7070196738875489E-13</v>
      </c>
      <c r="T823" s="33">
        <v>13913845.399999999</v>
      </c>
      <c r="W823" s="32">
        <v>345238438.32000029</v>
      </c>
      <c r="X823" s="32">
        <v>345238438.32000035</v>
      </c>
      <c r="Y823" s="32">
        <v>0</v>
      </c>
    </row>
    <row r="824" spans="1:26" x14ac:dyDescent="0.2">
      <c r="F824" s="33"/>
    </row>
    <row r="825" spans="1:26" x14ac:dyDescent="0.2">
      <c r="A825" s="32">
        <v>15</v>
      </c>
      <c r="B825" s="32" t="s">
        <v>1422</v>
      </c>
      <c r="D825" s="33">
        <v>345238438.32000029</v>
      </c>
      <c r="F825" s="33">
        <v>299562999.97091067</v>
      </c>
      <c r="H825" s="33">
        <v>18539713.584298965</v>
      </c>
      <c r="I825" s="33">
        <v>27135724.764790684</v>
      </c>
      <c r="L825" s="33">
        <v>2778.9719701127019</v>
      </c>
      <c r="N825" s="33">
        <v>27132945.792820573</v>
      </c>
      <c r="O825" s="33">
        <v>8513304.0579622462</v>
      </c>
      <c r="P825" s="33">
        <v>18619641.734858327</v>
      </c>
      <c r="Q825" s="33">
        <v>8.7070196738875489E-13</v>
      </c>
      <c r="U825" s="32" t="s">
        <v>721</v>
      </c>
    </row>
    <row r="826" spans="1:26" x14ac:dyDescent="0.2">
      <c r="F826" s="33"/>
    </row>
    <row r="827" spans="1:26" x14ac:dyDescent="0.2">
      <c r="B827" s="32" t="s">
        <v>1423</v>
      </c>
      <c r="F827" s="33"/>
    </row>
    <row r="828" spans="1:26" x14ac:dyDescent="0.2">
      <c r="B828" s="32" t="s">
        <v>729</v>
      </c>
      <c r="F828" s="33"/>
    </row>
    <row r="829" spans="1:26" x14ac:dyDescent="0.2">
      <c r="A829" s="32">
        <v>16</v>
      </c>
      <c r="B829" s="32" t="s">
        <v>730</v>
      </c>
      <c r="C829" s="32" t="s">
        <v>1795</v>
      </c>
      <c r="D829" s="33">
        <v>89278977.999999985</v>
      </c>
      <c r="F829" s="33">
        <v>77455484.262884691</v>
      </c>
      <c r="H829" s="33">
        <v>4095410.6387411822</v>
      </c>
      <c r="I829" s="33">
        <v>7728083.098374119</v>
      </c>
      <c r="L829" s="33">
        <v>425.78195862202313</v>
      </c>
      <c r="N829" s="33">
        <v>7727657.3164154971</v>
      </c>
      <c r="O829" s="33">
        <v>2522667.1611161698</v>
      </c>
      <c r="P829" s="33">
        <v>5204990.1552993273</v>
      </c>
      <c r="Q829" s="33">
        <v>0</v>
      </c>
      <c r="T829" s="33">
        <v>89278978</v>
      </c>
      <c r="V829" s="32" t="s">
        <v>731</v>
      </c>
      <c r="X829" s="32">
        <v>86500323.279999986</v>
      </c>
      <c r="Y829" s="32" t="s">
        <v>2584</v>
      </c>
      <c r="Z829" s="32" t="s">
        <v>2234</v>
      </c>
    </row>
    <row r="830" spans="1:26" x14ac:dyDescent="0.2">
      <c r="B830" s="32" t="s">
        <v>732</v>
      </c>
      <c r="F830" s="33"/>
    </row>
    <row r="831" spans="1:26" x14ac:dyDescent="0.2">
      <c r="A831" s="32">
        <v>17</v>
      </c>
      <c r="B831" s="32" t="s">
        <v>733</v>
      </c>
      <c r="C831" s="32" t="s">
        <v>1202</v>
      </c>
      <c r="D831" s="33">
        <v>24117434.159910001</v>
      </c>
      <c r="F831" s="33">
        <v>20667010.516504548</v>
      </c>
      <c r="H831" s="33">
        <v>1250935.3425559681</v>
      </c>
      <c r="I831" s="33">
        <v>2199488.3008494824</v>
      </c>
      <c r="L831" s="33">
        <v>182.73293861005729</v>
      </c>
      <c r="N831" s="33">
        <v>2199305.5679108724</v>
      </c>
      <c r="O831" s="33">
        <v>686239.13856606698</v>
      </c>
      <c r="P831" s="33">
        <v>1513066.4293448054</v>
      </c>
      <c r="Q831" s="33">
        <v>0</v>
      </c>
      <c r="T831" s="33">
        <v>24117434.159910001</v>
      </c>
      <c r="V831" s="32" t="s">
        <v>731</v>
      </c>
      <c r="X831" s="32">
        <v>24609116.731468812</v>
      </c>
      <c r="Y831" s="32" t="s">
        <v>2584</v>
      </c>
      <c r="Z831" s="32" t="s">
        <v>2234</v>
      </c>
    </row>
    <row r="832" spans="1:26" x14ac:dyDescent="0.2">
      <c r="A832" s="32">
        <v>18</v>
      </c>
      <c r="B832" s="32" t="s">
        <v>734</v>
      </c>
      <c r="C832" s="32" t="s">
        <v>1204</v>
      </c>
      <c r="D832" s="33">
        <v>3386564.8713800004</v>
      </c>
      <c r="F832" s="33">
        <v>2717592.3545860951</v>
      </c>
      <c r="H832" s="33">
        <v>389011.31734482636</v>
      </c>
      <c r="I832" s="33">
        <v>279961.19944907894</v>
      </c>
      <c r="L832" s="33">
        <v>24.028324585269129</v>
      </c>
      <c r="N832" s="33">
        <v>279937.17112449365</v>
      </c>
      <c r="O832" s="33">
        <v>87347.500032737284</v>
      </c>
      <c r="P832" s="33">
        <v>192589.67109175638</v>
      </c>
      <c r="Q832" s="33">
        <v>0</v>
      </c>
      <c r="T832" s="33">
        <v>3386564.8713800004</v>
      </c>
      <c r="V832" s="32" t="s">
        <v>731</v>
      </c>
      <c r="X832" s="32">
        <v>3455449.254149348</v>
      </c>
      <c r="Y832" s="32" t="s">
        <v>2584</v>
      </c>
      <c r="Z832" s="32" t="s">
        <v>2234</v>
      </c>
    </row>
    <row r="833" spans="1:26" x14ac:dyDescent="0.2">
      <c r="A833" s="32">
        <v>19</v>
      </c>
      <c r="B833" s="32" t="s">
        <v>0</v>
      </c>
      <c r="C833" s="32" t="s">
        <v>1860</v>
      </c>
      <c r="D833" s="33">
        <v>6086545.8707999997</v>
      </c>
      <c r="F833" s="33">
        <v>5726506.5035210308</v>
      </c>
      <c r="H833" s="33">
        <v>341003.91497732833</v>
      </c>
      <c r="I833" s="33">
        <v>19035.452301641242</v>
      </c>
      <c r="L833" s="33">
        <v>687.89786368506395</v>
      </c>
      <c r="N833" s="33">
        <v>18347.55443795618</v>
      </c>
      <c r="O833" s="33">
        <v>15766.80929884664</v>
      </c>
      <c r="P833" s="33">
        <v>2580.745139109541</v>
      </c>
      <c r="Q833" s="33">
        <v>0</v>
      </c>
      <c r="T833" s="33">
        <v>6086545.8707999997</v>
      </c>
      <c r="V833" s="32" t="s">
        <v>731</v>
      </c>
      <c r="X833" s="32">
        <v>6210493.8243997507</v>
      </c>
      <c r="Y833" s="32" t="s">
        <v>2584</v>
      </c>
      <c r="Z833" s="32" t="s">
        <v>2234</v>
      </c>
    </row>
    <row r="834" spans="1:26" x14ac:dyDescent="0.2">
      <c r="A834" s="32">
        <v>20</v>
      </c>
      <c r="B834" s="32" t="s">
        <v>735</v>
      </c>
      <c r="C834" s="32" t="s">
        <v>1864</v>
      </c>
      <c r="D834" s="33">
        <v>0</v>
      </c>
      <c r="F834" s="33">
        <v>0</v>
      </c>
      <c r="H834" s="33">
        <v>0</v>
      </c>
      <c r="I834" s="33">
        <v>0</v>
      </c>
      <c r="L834" s="33">
        <v>0</v>
      </c>
      <c r="N834" s="33">
        <v>0</v>
      </c>
      <c r="O834" s="33">
        <v>0</v>
      </c>
      <c r="P834" s="33">
        <v>0</v>
      </c>
      <c r="Q834" s="33">
        <v>0</v>
      </c>
      <c r="T834" s="33">
        <v>0</v>
      </c>
      <c r="V834" s="32" t="s">
        <v>731</v>
      </c>
      <c r="X834" s="32">
        <v>0</v>
      </c>
      <c r="Y834" s="32" t="s">
        <v>2584</v>
      </c>
      <c r="Z834" s="32" t="s">
        <v>2234</v>
      </c>
    </row>
    <row r="835" spans="1:26" x14ac:dyDescent="0.2">
      <c r="A835" s="32">
        <v>21</v>
      </c>
      <c r="B835" s="32" t="s">
        <v>736</v>
      </c>
      <c r="C835" s="32" t="s">
        <v>1206</v>
      </c>
      <c r="D835" s="33">
        <v>9844414.0000000019</v>
      </c>
      <c r="F835" s="33">
        <v>8531621.4285385814</v>
      </c>
      <c r="H835" s="33">
        <v>580559.13143060904</v>
      </c>
      <c r="I835" s="33">
        <v>732233.44003081066</v>
      </c>
      <c r="L835" s="33">
        <v>262.19862939291284</v>
      </c>
      <c r="N835" s="33">
        <v>731971.24140141776</v>
      </c>
      <c r="O835" s="33">
        <v>231336.59058172684</v>
      </c>
      <c r="P835" s="33">
        <v>500634.65081969096</v>
      </c>
      <c r="Q835" s="33">
        <v>0</v>
      </c>
      <c r="T835" s="33">
        <v>9844414</v>
      </c>
      <c r="V835" s="32" t="s">
        <v>731</v>
      </c>
      <c r="X835" s="32">
        <v>10204327.460000001</v>
      </c>
      <c r="Y835" s="32" t="s">
        <v>2584</v>
      </c>
      <c r="Z835" s="32" t="s">
        <v>2234</v>
      </c>
    </row>
    <row r="836" spans="1:26" x14ac:dyDescent="0.2">
      <c r="A836" s="32">
        <v>22</v>
      </c>
      <c r="B836" s="32" t="s">
        <v>737</v>
      </c>
      <c r="D836" s="33">
        <v>43434958.902090006</v>
      </c>
      <c r="F836" s="33">
        <v>37642730.803150259</v>
      </c>
      <c r="H836" s="33">
        <v>2561509.7063087318</v>
      </c>
      <c r="I836" s="33">
        <v>3230718.3926310134</v>
      </c>
      <c r="L836" s="33">
        <v>1156.8577562733033</v>
      </c>
      <c r="N836" s="33">
        <v>3229561.5348747401</v>
      </c>
      <c r="O836" s="33">
        <v>1020690.0384793777</v>
      </c>
      <c r="P836" s="33">
        <v>2208871.4963953621</v>
      </c>
      <c r="Q836" s="33">
        <v>0</v>
      </c>
      <c r="X836" s="32">
        <v>44479387.270017914</v>
      </c>
    </row>
    <row r="837" spans="1:26" x14ac:dyDescent="0.2">
      <c r="A837" s="32">
        <v>23</v>
      </c>
      <c r="B837" s="32" t="s">
        <v>738</v>
      </c>
      <c r="D837" s="33">
        <v>132713936.90209</v>
      </c>
      <c r="F837" s="33">
        <v>115098215.06603494</v>
      </c>
      <c r="H837" s="33">
        <v>6656920.345049914</v>
      </c>
      <c r="I837" s="33">
        <v>10958801.491005132</v>
      </c>
      <c r="L837" s="33">
        <v>1582.6397148953265</v>
      </c>
      <c r="N837" s="33">
        <v>10957218.851290237</v>
      </c>
      <c r="O837" s="33">
        <v>3543357.1995955473</v>
      </c>
      <c r="P837" s="33">
        <v>7413861.6516946889</v>
      </c>
      <c r="Q837" s="33">
        <v>0</v>
      </c>
    </row>
    <row r="838" spans="1:26" x14ac:dyDescent="0.2">
      <c r="F838" s="33"/>
    </row>
    <row r="839" spans="1:26" x14ac:dyDescent="0.2">
      <c r="B839" s="32" t="s">
        <v>739</v>
      </c>
      <c r="F839" s="33"/>
    </row>
    <row r="840" spans="1:26" x14ac:dyDescent="0.2">
      <c r="A840" s="32">
        <v>24</v>
      </c>
      <c r="B840" s="32" t="s">
        <v>2585</v>
      </c>
      <c r="C840" s="32" t="s">
        <v>2458</v>
      </c>
      <c r="D840" s="33">
        <v>6284027.9999999991</v>
      </c>
      <c r="F840" s="33">
        <v>5524818.8476915052</v>
      </c>
      <c r="H840" s="33">
        <v>360096.60715444217</v>
      </c>
      <c r="I840" s="33">
        <v>399112.54515405226</v>
      </c>
      <c r="L840" s="33">
        <v>195.76879170054093</v>
      </c>
      <c r="N840" s="33">
        <v>398916.77636235172</v>
      </c>
      <c r="O840" s="33">
        <v>127831.72843074553</v>
      </c>
      <c r="P840" s="33">
        <v>271085.04793160618</v>
      </c>
      <c r="Q840" s="33">
        <v>1.8334901919395626E-13</v>
      </c>
      <c r="T840" s="33">
        <v>6284028</v>
      </c>
      <c r="V840" s="32" t="s">
        <v>731</v>
      </c>
      <c r="X840" s="32">
        <v>6333282.1100000003</v>
      </c>
      <c r="Y840" s="32" t="s">
        <v>2584</v>
      </c>
      <c r="Z840" s="32" t="s">
        <v>2234</v>
      </c>
    </row>
    <row r="841" spans="1:26" x14ac:dyDescent="0.2">
      <c r="A841" s="32">
        <v>25</v>
      </c>
      <c r="B841" s="32" t="s">
        <v>740</v>
      </c>
      <c r="C841" s="32" t="s">
        <v>2459</v>
      </c>
      <c r="D841" s="33">
        <v>1042648</v>
      </c>
      <c r="F841" s="33">
        <v>1042648</v>
      </c>
      <c r="H841" s="33">
        <v>0</v>
      </c>
      <c r="I841" s="33">
        <v>0</v>
      </c>
      <c r="L841" s="33">
        <v>0</v>
      </c>
      <c r="N841" s="33">
        <v>0</v>
      </c>
      <c r="O841" s="33">
        <v>0</v>
      </c>
      <c r="P841" s="33">
        <v>0</v>
      </c>
      <c r="Q841" s="33">
        <v>0</v>
      </c>
      <c r="T841" s="33">
        <v>1042648</v>
      </c>
      <c r="V841" s="32" t="s">
        <v>731</v>
      </c>
      <c r="X841" s="32">
        <v>672451.46</v>
      </c>
      <c r="Y841" s="32" t="s">
        <v>2584</v>
      </c>
      <c r="Z841" s="32" t="s">
        <v>2234</v>
      </c>
    </row>
    <row r="842" spans="1:26" x14ac:dyDescent="0.2">
      <c r="A842" s="32">
        <v>26</v>
      </c>
      <c r="B842" s="32" t="s">
        <v>741</v>
      </c>
      <c r="D842" s="33">
        <v>7326675.9999999991</v>
      </c>
      <c r="F842" s="33">
        <v>6567466.8476915052</v>
      </c>
      <c r="H842" s="33">
        <v>360096.60715444217</v>
      </c>
      <c r="I842" s="33">
        <v>399112.54515405226</v>
      </c>
      <c r="L842" s="33">
        <v>195.76879170054093</v>
      </c>
      <c r="N842" s="33">
        <v>398916.77636235172</v>
      </c>
      <c r="O842" s="33">
        <v>127831.72843074553</v>
      </c>
      <c r="P842" s="33">
        <v>271085.04793160618</v>
      </c>
      <c r="Q842" s="33">
        <v>1.8334901919395626E-13</v>
      </c>
    </row>
    <row r="843" spans="1:26" x14ac:dyDescent="0.2">
      <c r="F843" s="33"/>
    </row>
    <row r="844" spans="1:26" x14ac:dyDescent="0.2">
      <c r="A844" s="32">
        <v>27</v>
      </c>
      <c r="B844" s="32" t="s">
        <v>742</v>
      </c>
      <c r="D844" s="33">
        <v>104067439.13621081</v>
      </c>
      <c r="F844" s="33">
        <v>96090910.252275959</v>
      </c>
      <c r="H844" s="33">
        <v>0</v>
      </c>
      <c r="I844" s="33">
        <v>7976528.8839348536</v>
      </c>
      <c r="L844" s="33">
        <v>1716.2047600187343</v>
      </c>
      <c r="N844" s="33">
        <v>7974812.6791748349</v>
      </c>
      <c r="O844" s="33">
        <v>2592827.9473244175</v>
      </c>
      <c r="P844" s="33">
        <v>5381984.7318504173</v>
      </c>
      <c r="Q844" s="33">
        <v>6.1148525802722101E-13</v>
      </c>
      <c r="V844" s="32" t="s">
        <v>2235</v>
      </c>
    </row>
    <row r="845" spans="1:26" x14ac:dyDescent="0.2">
      <c r="F845" s="33"/>
    </row>
    <row r="846" spans="1:26" x14ac:dyDescent="0.2">
      <c r="A846" s="32">
        <v>28</v>
      </c>
      <c r="B846" s="32" t="s">
        <v>743</v>
      </c>
      <c r="D846" s="33">
        <v>244108052.03830078</v>
      </c>
      <c r="F846" s="33">
        <v>217756592.16600239</v>
      </c>
      <c r="H846" s="33">
        <v>7017016.952204356</v>
      </c>
      <c r="I846" s="33">
        <v>19334442.920094036</v>
      </c>
      <c r="L846" s="33">
        <v>3494.6132666146018</v>
      </c>
      <c r="N846" s="33">
        <v>19330948.306827422</v>
      </c>
      <c r="O846" s="33">
        <v>6264016.87535071</v>
      </c>
      <c r="P846" s="33">
        <v>13066931.431476712</v>
      </c>
      <c r="Q846" s="33">
        <v>7.9483427722117725E-13</v>
      </c>
    </row>
    <row r="847" spans="1:26" x14ac:dyDescent="0.2">
      <c r="F847" s="33"/>
    </row>
    <row r="848" spans="1:26" x14ac:dyDescent="0.2">
      <c r="A848" s="32">
        <v>29</v>
      </c>
      <c r="B848" s="32" t="s">
        <v>744</v>
      </c>
      <c r="C848" s="32" t="s">
        <v>1674</v>
      </c>
      <c r="D848" s="33">
        <v>480272</v>
      </c>
      <c r="F848" s="33">
        <v>415670.69643548207</v>
      </c>
      <c r="H848" s="33">
        <v>24411.106095953157</v>
      </c>
      <c r="I848" s="33">
        <v>40190.197468564773</v>
      </c>
      <c r="L848" s="33">
        <v>3.6752643926457633</v>
      </c>
      <c r="N848" s="33">
        <v>40186.522204172128</v>
      </c>
      <c r="O848" s="33">
        <v>12539.214551051777</v>
      </c>
      <c r="P848" s="33">
        <v>27647.307653120348</v>
      </c>
      <c r="Q848" s="33">
        <v>0</v>
      </c>
      <c r="T848" s="33">
        <v>480272</v>
      </c>
      <c r="V848" s="32" t="s">
        <v>731</v>
      </c>
      <c r="X848" s="32">
        <v>426062.63</v>
      </c>
      <c r="Y848" s="32" t="s">
        <v>2584</v>
      </c>
      <c r="Z848" s="32" t="s">
        <v>2234</v>
      </c>
    </row>
    <row r="849" spans="1:22" x14ac:dyDescent="0.2">
      <c r="F849" s="33"/>
    </row>
    <row r="850" spans="1:22" x14ac:dyDescent="0.2">
      <c r="A850" s="32">
        <v>30</v>
      </c>
      <c r="B850" s="32" t="s">
        <v>746</v>
      </c>
      <c r="D850" s="33">
        <v>589826762.35830104</v>
      </c>
      <c r="F850" s="33">
        <v>517735262.83334851</v>
      </c>
      <c r="H850" s="33">
        <v>25581141.642599273</v>
      </c>
      <c r="I850" s="33">
        <v>46510357.882353283</v>
      </c>
      <c r="L850" s="33">
        <v>6277.2605011199494</v>
      </c>
      <c r="N850" s="33">
        <v>46504080.621852167</v>
      </c>
      <c r="O850" s="33">
        <v>14789860.147864008</v>
      </c>
      <c r="P850" s="33">
        <v>31714220.47398816</v>
      </c>
      <c r="Q850" s="33">
        <v>1.665536244609932E-12</v>
      </c>
    </row>
    <row r="851" spans="1:22" x14ac:dyDescent="0.2">
      <c r="F851" s="33"/>
    </row>
    <row r="852" spans="1:22" x14ac:dyDescent="0.2">
      <c r="F852" s="33"/>
    </row>
    <row r="853" spans="1:22" x14ac:dyDescent="0.2">
      <c r="B853" s="32" t="s">
        <v>747</v>
      </c>
      <c r="F853" s="33"/>
    </row>
    <row r="854" spans="1:22" x14ac:dyDescent="0.2">
      <c r="F854" s="33"/>
    </row>
    <row r="855" spans="1:22" x14ac:dyDescent="0.2">
      <c r="B855" s="32" t="s">
        <v>748</v>
      </c>
      <c r="F855" s="33"/>
    </row>
    <row r="856" spans="1:22" x14ac:dyDescent="0.2">
      <c r="F856" s="33"/>
    </row>
    <row r="857" spans="1:22" x14ac:dyDescent="0.2">
      <c r="B857" s="32" t="s">
        <v>9</v>
      </c>
      <c r="F857" s="33"/>
    </row>
    <row r="858" spans="1:22" x14ac:dyDescent="0.2">
      <c r="A858" s="32">
        <v>1</v>
      </c>
      <c r="B858" s="32" t="s">
        <v>1410</v>
      </c>
      <c r="C858" s="32" t="s">
        <v>602</v>
      </c>
      <c r="D858" s="33">
        <v>339799367</v>
      </c>
      <c r="F858" s="33">
        <v>294093012.97853291</v>
      </c>
      <c r="H858" s="33">
        <v>17271209.646147855</v>
      </c>
      <c r="I858" s="33">
        <v>28435144.375319213</v>
      </c>
      <c r="L858" s="33">
        <v>2600.3025664179254</v>
      </c>
      <c r="N858" s="33">
        <v>28432544.072752796</v>
      </c>
      <c r="O858" s="33">
        <v>8871675.1489251554</v>
      </c>
      <c r="P858" s="33">
        <v>19560868.923827641</v>
      </c>
      <c r="Q858" s="33">
        <v>0</v>
      </c>
      <c r="T858" s="33">
        <v>339799367</v>
      </c>
      <c r="V858" s="32" t="s">
        <v>749</v>
      </c>
    </row>
    <row r="859" spans="1:22" x14ac:dyDescent="0.2">
      <c r="A859" s="32">
        <v>2</v>
      </c>
      <c r="B859" s="32" t="s">
        <v>1411</v>
      </c>
      <c r="C859" s="32" t="s">
        <v>1676</v>
      </c>
      <c r="D859" s="33">
        <v>1401506</v>
      </c>
      <c r="F859" s="33">
        <v>0</v>
      </c>
      <c r="H859" s="33">
        <v>529621.79201319953</v>
      </c>
      <c r="I859" s="33">
        <v>871884.20798680047</v>
      </c>
      <c r="L859" s="33">
        <v>0</v>
      </c>
      <c r="N859" s="33">
        <v>871884.20798680047</v>
      </c>
      <c r="O859" s="33">
        <v>272049.99457468145</v>
      </c>
      <c r="P859" s="33">
        <v>599834.21341211896</v>
      </c>
      <c r="Q859" s="33">
        <v>0</v>
      </c>
      <c r="T859" s="33">
        <v>1401506</v>
      </c>
      <c r="V859" s="32" t="s">
        <v>749</v>
      </c>
    </row>
    <row r="860" spans="1:22" x14ac:dyDescent="0.2">
      <c r="A860" s="32">
        <v>3</v>
      </c>
      <c r="B860" s="32" t="s">
        <v>1412</v>
      </c>
      <c r="C860" s="32" t="s">
        <v>1682</v>
      </c>
      <c r="D860" s="33">
        <v>99539.999999999985</v>
      </c>
      <c r="F860" s="33">
        <v>0</v>
      </c>
      <c r="H860" s="33">
        <v>0</v>
      </c>
      <c r="I860" s="33">
        <v>99539.999999999985</v>
      </c>
      <c r="L860" s="33">
        <v>0</v>
      </c>
      <c r="N860" s="33">
        <v>99539.999999999985</v>
      </c>
      <c r="O860" s="33">
        <v>31059.005555900327</v>
      </c>
      <c r="P860" s="33">
        <v>68480.994444099662</v>
      </c>
      <c r="Q860" s="33">
        <v>0</v>
      </c>
      <c r="T860" s="33">
        <v>99540</v>
      </c>
      <c r="V860" s="32" t="s">
        <v>749</v>
      </c>
    </row>
    <row r="861" spans="1:22" x14ac:dyDescent="0.2">
      <c r="A861" s="32">
        <v>4</v>
      </c>
      <c r="B861" s="32" t="s">
        <v>1413</v>
      </c>
      <c r="D861" s="33">
        <v>341300413</v>
      </c>
      <c r="F861" s="33">
        <v>294093012.97853291</v>
      </c>
      <c r="H861" s="33">
        <v>17800831.438161053</v>
      </c>
      <c r="I861" s="33">
        <v>29406568.583306007</v>
      </c>
      <c r="L861" s="33">
        <v>2600.3025664179254</v>
      </c>
      <c r="N861" s="33">
        <v>29403968.280739591</v>
      </c>
      <c r="O861" s="33">
        <v>9174784.1490557361</v>
      </c>
      <c r="P861" s="33">
        <v>20229184.131683856</v>
      </c>
      <c r="Q861" s="33">
        <v>0</v>
      </c>
    </row>
    <row r="862" spans="1:22" x14ac:dyDescent="0.2">
      <c r="F862" s="33"/>
    </row>
    <row r="863" spans="1:22" x14ac:dyDescent="0.2">
      <c r="B863" s="32" t="s">
        <v>21</v>
      </c>
      <c r="F863" s="33"/>
    </row>
    <row r="864" spans="1:22" x14ac:dyDescent="0.2">
      <c r="A864" s="32">
        <v>5</v>
      </c>
      <c r="B864" s="32" t="s">
        <v>1362</v>
      </c>
      <c r="C864" s="32" t="s">
        <v>1854</v>
      </c>
      <c r="D864" s="33">
        <v>38541449</v>
      </c>
      <c r="F864" s="33">
        <v>33108751.49901101</v>
      </c>
      <c r="H864" s="33">
        <v>2019204.5397035351</v>
      </c>
      <c r="I864" s="33">
        <v>3413492.9612854593</v>
      </c>
      <c r="L864" s="33">
        <v>292.73994176820497</v>
      </c>
      <c r="N864" s="33">
        <v>3413200.221343691</v>
      </c>
      <c r="O864" s="33">
        <v>1065005.0697017671</v>
      </c>
      <c r="P864" s="33">
        <v>2348195.1516419239</v>
      </c>
      <c r="Q864" s="33">
        <v>0</v>
      </c>
      <c r="T864" s="33">
        <v>38541449</v>
      </c>
      <c r="V864" s="32" t="s">
        <v>749</v>
      </c>
    </row>
    <row r="865" spans="1:22" x14ac:dyDescent="0.2">
      <c r="A865" s="32">
        <v>6</v>
      </c>
      <c r="B865" s="32" t="s">
        <v>1363</v>
      </c>
      <c r="C865" s="32" t="s">
        <v>1684</v>
      </c>
      <c r="D865" s="33">
        <v>425142</v>
      </c>
      <c r="F865" s="33">
        <v>387660.08136940765</v>
      </c>
      <c r="H865" s="33">
        <v>0</v>
      </c>
      <c r="I865" s="33">
        <v>37481.918630592321</v>
      </c>
      <c r="L865" s="33">
        <v>3.4276009969547729</v>
      </c>
      <c r="N865" s="33">
        <v>37478.491029595367</v>
      </c>
      <c r="O865" s="33">
        <v>11694.240115681767</v>
      </c>
      <c r="P865" s="33">
        <v>25784.250913913598</v>
      </c>
      <c r="Q865" s="33">
        <v>0</v>
      </c>
      <c r="T865" s="33">
        <v>425142</v>
      </c>
      <c r="V865" s="32" t="s">
        <v>749</v>
      </c>
    </row>
    <row r="866" spans="1:22" x14ac:dyDescent="0.2">
      <c r="A866" s="32">
        <v>7</v>
      </c>
      <c r="B866" s="32" t="s">
        <v>750</v>
      </c>
      <c r="C866" s="32" t="s">
        <v>1856</v>
      </c>
      <c r="D866" s="33">
        <v>2733631</v>
      </c>
      <c r="F866" s="33">
        <v>0</v>
      </c>
      <c r="H866" s="33">
        <v>2733352.5074776816</v>
      </c>
      <c r="I866" s="33">
        <v>278.49252231846856</v>
      </c>
      <c r="L866" s="33">
        <v>0</v>
      </c>
      <c r="N866" s="33">
        <v>278.49252231846856</v>
      </c>
      <c r="O866" s="33">
        <v>86.896732951235776</v>
      </c>
      <c r="P866" s="33">
        <v>191.59578936723275</v>
      </c>
      <c r="Q866" s="33">
        <v>0</v>
      </c>
      <c r="T866" s="33">
        <v>2733631</v>
      </c>
      <c r="V866" s="32" t="s">
        <v>749</v>
      </c>
    </row>
    <row r="867" spans="1:22" x14ac:dyDescent="0.2">
      <c r="A867" s="32">
        <v>8</v>
      </c>
      <c r="B867" s="32" t="s">
        <v>1353</v>
      </c>
      <c r="C867" s="32" t="s">
        <v>1691</v>
      </c>
      <c r="D867" s="33">
        <v>262968</v>
      </c>
      <c r="F867" s="33">
        <v>0</v>
      </c>
      <c r="H867" s="33">
        <v>99374.232719750798</v>
      </c>
      <c r="I867" s="33">
        <v>163593.76728024919</v>
      </c>
      <c r="L867" s="33">
        <v>0</v>
      </c>
      <c r="N867" s="33">
        <v>163593.76728024919</v>
      </c>
      <c r="O867" s="33">
        <v>51045.406136909027</v>
      </c>
      <c r="P867" s="33">
        <v>112548.36114334017</v>
      </c>
      <c r="Q867" s="33">
        <v>0</v>
      </c>
      <c r="T867" s="33">
        <v>262968</v>
      </c>
      <c r="V867" s="32" t="s">
        <v>749</v>
      </c>
    </row>
    <row r="868" spans="1:22" x14ac:dyDescent="0.2">
      <c r="A868" s="32">
        <v>9</v>
      </c>
      <c r="B868" s="32" t="s">
        <v>1354</v>
      </c>
      <c r="C868" s="32" t="s">
        <v>1693</v>
      </c>
      <c r="D868" s="33">
        <v>7528</v>
      </c>
      <c r="F868" s="33">
        <v>0</v>
      </c>
      <c r="H868" s="33">
        <v>0</v>
      </c>
      <c r="I868" s="33">
        <v>7528</v>
      </c>
      <c r="L868" s="33">
        <v>0</v>
      </c>
      <c r="N868" s="33">
        <v>7528</v>
      </c>
      <c r="O868" s="33">
        <v>2348.9270024594903</v>
      </c>
      <c r="P868" s="33">
        <v>5179.0729975405093</v>
      </c>
      <c r="Q868" s="33">
        <v>0</v>
      </c>
      <c r="T868" s="33">
        <v>7528</v>
      </c>
      <c r="V868" s="32" t="s">
        <v>749</v>
      </c>
    </row>
    <row r="869" spans="1:22" x14ac:dyDescent="0.2">
      <c r="A869" s="32">
        <v>10</v>
      </c>
      <c r="B869" s="32" t="s">
        <v>22</v>
      </c>
      <c r="D869" s="33">
        <v>41970718.000000007</v>
      </c>
      <c r="F869" s="33">
        <v>33496411.580380417</v>
      </c>
      <c r="H869" s="33">
        <v>4851931.2799009681</v>
      </c>
      <c r="I869" s="33">
        <v>3622375.1397186201</v>
      </c>
      <c r="L869" s="33">
        <v>296.16754276515974</v>
      </c>
      <c r="N869" s="33">
        <v>3622078.9721758547</v>
      </c>
      <c r="O869" s="33">
        <v>1130180.5396897686</v>
      </c>
      <c r="P869" s="33">
        <v>2491898.4324860862</v>
      </c>
      <c r="Q869" s="33">
        <v>0</v>
      </c>
    </row>
    <row r="870" spans="1:22" x14ac:dyDescent="0.2">
      <c r="F870" s="33"/>
    </row>
    <row r="871" spans="1:22" x14ac:dyDescent="0.2">
      <c r="A871" s="32">
        <v>11</v>
      </c>
      <c r="B871" s="32" t="s">
        <v>751</v>
      </c>
      <c r="C871" s="32" t="s">
        <v>1786</v>
      </c>
      <c r="D871" s="33">
        <v>5364985</v>
      </c>
      <c r="F871" s="33">
        <v>0</v>
      </c>
      <c r="H871" s="33">
        <v>5364985</v>
      </c>
      <c r="I871" s="33">
        <v>0</v>
      </c>
      <c r="L871" s="33">
        <v>0</v>
      </c>
      <c r="N871" s="33">
        <v>0</v>
      </c>
      <c r="O871" s="33">
        <v>0</v>
      </c>
      <c r="P871" s="33">
        <v>0</v>
      </c>
      <c r="Q871" s="33">
        <v>0</v>
      </c>
      <c r="T871" s="33">
        <v>5364985</v>
      </c>
      <c r="V871" s="32" t="s">
        <v>749</v>
      </c>
    </row>
    <row r="872" spans="1:22" x14ac:dyDescent="0.2">
      <c r="A872" s="32">
        <v>12</v>
      </c>
      <c r="B872" s="32" t="s">
        <v>752</v>
      </c>
      <c r="C872" s="32" t="s">
        <v>1231</v>
      </c>
      <c r="D872" s="33">
        <v>103029906</v>
      </c>
      <c r="F872" s="33">
        <v>102688559.46099892</v>
      </c>
      <c r="H872" s="33">
        <v>0</v>
      </c>
      <c r="I872" s="33">
        <v>341346.53900108277</v>
      </c>
      <c r="L872" s="33">
        <v>12335.485978176082</v>
      </c>
      <c r="N872" s="33">
        <v>329011.05302290671</v>
      </c>
      <c r="O872" s="33">
        <v>282732.75044729857</v>
      </c>
      <c r="P872" s="33">
        <v>46278.302575608133</v>
      </c>
      <c r="Q872" s="33">
        <v>0</v>
      </c>
      <c r="T872" s="33">
        <v>103029906</v>
      </c>
      <c r="V872" s="32" t="s">
        <v>749</v>
      </c>
    </row>
    <row r="873" spans="1:22" x14ac:dyDescent="0.2">
      <c r="A873" s="32">
        <v>13</v>
      </c>
      <c r="B873" s="32" t="s">
        <v>23</v>
      </c>
      <c r="D873" s="33">
        <v>108394891</v>
      </c>
      <c r="F873" s="33">
        <v>102688559.46099892</v>
      </c>
      <c r="H873" s="33">
        <v>5364985</v>
      </c>
      <c r="I873" s="33">
        <v>341346.53900108277</v>
      </c>
      <c r="L873" s="33">
        <v>12335.485978176082</v>
      </c>
      <c r="N873" s="33">
        <v>329011.05302290671</v>
      </c>
      <c r="O873" s="33">
        <v>282732.75044729857</v>
      </c>
      <c r="P873" s="33">
        <v>46278.302575608133</v>
      </c>
      <c r="Q873" s="33">
        <v>0</v>
      </c>
    </row>
    <row r="874" spans="1:22" x14ac:dyDescent="0.2">
      <c r="F874" s="33"/>
    </row>
    <row r="875" spans="1:22" x14ac:dyDescent="0.2">
      <c r="A875" s="32">
        <v>14</v>
      </c>
      <c r="B875" s="32" t="s">
        <v>1421</v>
      </c>
      <c r="C875" s="32" t="s">
        <v>1864</v>
      </c>
      <c r="D875" s="33">
        <v>10530465</v>
      </c>
      <c r="F875" s="33">
        <v>9365572.5991982259</v>
      </c>
      <c r="H875" s="33">
        <v>576995.62064488372</v>
      </c>
      <c r="I875" s="33">
        <v>587896.78015688993</v>
      </c>
      <c r="L875" s="33">
        <v>323.27085721477977</v>
      </c>
      <c r="N875" s="33">
        <v>587573.50929967512</v>
      </c>
      <c r="O875" s="33">
        <v>190880.63650738556</v>
      </c>
      <c r="P875" s="33">
        <v>396692.87279228953</v>
      </c>
      <c r="Q875" s="33">
        <v>6.5897646045559955E-13</v>
      </c>
      <c r="T875" s="33">
        <v>10530465</v>
      </c>
      <c r="V875" s="32" t="s">
        <v>749</v>
      </c>
    </row>
    <row r="876" spans="1:22" x14ac:dyDescent="0.2">
      <c r="F876" s="33"/>
    </row>
    <row r="877" spans="1:22" x14ac:dyDescent="0.2">
      <c r="A877" s="32">
        <v>15</v>
      </c>
      <c r="B877" s="32" t="s">
        <v>753</v>
      </c>
      <c r="D877" s="33">
        <v>502196487</v>
      </c>
      <c r="F877" s="33">
        <v>439643556.61911047</v>
      </c>
      <c r="H877" s="33">
        <v>28594743.338706903</v>
      </c>
      <c r="I877" s="33">
        <v>33958187.042182602</v>
      </c>
      <c r="L877" s="33">
        <v>15555.226944573948</v>
      </c>
      <c r="N877" s="33">
        <v>33942631.815238029</v>
      </c>
      <c r="O877" s="33">
        <v>10778578.07570019</v>
      </c>
      <c r="P877" s="33">
        <v>23164053.739537839</v>
      </c>
      <c r="Q877" s="33">
        <v>6.5897646045559955E-13</v>
      </c>
    </row>
    <row r="878" spans="1:22" x14ac:dyDescent="0.2">
      <c r="F878" s="33"/>
    </row>
    <row r="879" spans="1:22" x14ac:dyDescent="0.2">
      <c r="B879" s="32" t="s">
        <v>754</v>
      </c>
      <c r="F879" s="33"/>
    </row>
    <row r="880" spans="1:22" x14ac:dyDescent="0.2">
      <c r="A880" s="32">
        <v>16</v>
      </c>
      <c r="B880" s="32" t="s">
        <v>755</v>
      </c>
      <c r="C880" s="32" t="s">
        <v>1202</v>
      </c>
      <c r="D880" s="33">
        <v>100707740</v>
      </c>
      <c r="F880" s="33">
        <v>86299724.418162271</v>
      </c>
      <c r="H880" s="33">
        <v>5223560.284217543</v>
      </c>
      <c r="I880" s="33">
        <v>9184455.2976201847</v>
      </c>
      <c r="L880" s="33">
        <v>763.04225188133717</v>
      </c>
      <c r="N880" s="33">
        <v>9183692.2553683035</v>
      </c>
      <c r="O880" s="33">
        <v>2865544.9948077453</v>
      </c>
      <c r="P880" s="33">
        <v>6318147.2605605591</v>
      </c>
      <c r="Q880" s="33">
        <v>0</v>
      </c>
      <c r="T880" s="33">
        <v>100707740</v>
      </c>
      <c r="V880" s="32" t="s">
        <v>749</v>
      </c>
    </row>
    <row r="881" spans="1:22" x14ac:dyDescent="0.2">
      <c r="A881" s="32">
        <v>17</v>
      </c>
      <c r="B881" s="32" t="s">
        <v>756</v>
      </c>
      <c r="C881" s="32" t="s">
        <v>1216</v>
      </c>
      <c r="D881" s="33">
        <v>0</v>
      </c>
      <c r="F881" s="33">
        <v>0</v>
      </c>
      <c r="H881" s="33">
        <v>0</v>
      </c>
      <c r="I881" s="33">
        <v>0</v>
      </c>
      <c r="L881" s="33">
        <v>0</v>
      </c>
      <c r="N881" s="33">
        <v>0</v>
      </c>
      <c r="O881" s="33">
        <v>0</v>
      </c>
      <c r="P881" s="33">
        <v>0</v>
      </c>
      <c r="Q881" s="33">
        <v>0</v>
      </c>
      <c r="T881" s="33">
        <v>0</v>
      </c>
      <c r="V881" s="32" t="s">
        <v>749</v>
      </c>
    </row>
    <row r="882" spans="1:22" x14ac:dyDescent="0.2">
      <c r="A882" s="32">
        <v>18</v>
      </c>
      <c r="B882" s="32" t="s">
        <v>2586</v>
      </c>
      <c r="C882" s="32" t="s">
        <v>1759</v>
      </c>
      <c r="D882" s="33">
        <v>0</v>
      </c>
      <c r="F882" s="33">
        <v>0</v>
      </c>
      <c r="H882" s="33">
        <v>0</v>
      </c>
      <c r="I882" s="33">
        <v>0</v>
      </c>
      <c r="L882" s="33">
        <v>0</v>
      </c>
      <c r="N882" s="33">
        <v>0</v>
      </c>
      <c r="O882" s="33">
        <v>0</v>
      </c>
      <c r="P882" s="33">
        <v>0</v>
      </c>
      <c r="Q882" s="33">
        <v>0</v>
      </c>
      <c r="T882" s="33">
        <v>0</v>
      </c>
      <c r="V882" s="32" t="s">
        <v>749</v>
      </c>
    </row>
    <row r="883" spans="1:22" x14ac:dyDescent="0.2">
      <c r="A883" s="32">
        <v>18</v>
      </c>
      <c r="B883" s="32" t="s">
        <v>758</v>
      </c>
      <c r="C883" s="32" t="s">
        <v>1788</v>
      </c>
      <c r="D883" s="33">
        <v>0</v>
      </c>
      <c r="F883" s="33">
        <v>0</v>
      </c>
      <c r="H883" s="33">
        <v>0</v>
      </c>
      <c r="I883" s="33">
        <v>0</v>
      </c>
      <c r="L883" s="33">
        <v>0</v>
      </c>
      <c r="N883" s="33">
        <v>0</v>
      </c>
      <c r="O883" s="33">
        <v>0</v>
      </c>
      <c r="P883" s="33">
        <v>0</v>
      </c>
      <c r="Q883" s="33">
        <v>0</v>
      </c>
      <c r="T883" s="33">
        <v>0</v>
      </c>
      <c r="V883" s="32" t="s">
        <v>749</v>
      </c>
    </row>
    <row r="884" spans="1:22" x14ac:dyDescent="0.2">
      <c r="A884" s="32">
        <v>20</v>
      </c>
      <c r="B884" s="32" t="s">
        <v>759</v>
      </c>
      <c r="C884" s="32" t="s">
        <v>1231</v>
      </c>
      <c r="D884" s="33">
        <v>0</v>
      </c>
      <c r="F884" s="33">
        <v>0</v>
      </c>
      <c r="H884" s="33">
        <v>0</v>
      </c>
      <c r="I884" s="33">
        <v>0</v>
      </c>
      <c r="L884" s="33">
        <v>0</v>
      </c>
      <c r="N884" s="33">
        <v>0</v>
      </c>
      <c r="O884" s="33">
        <v>0</v>
      </c>
      <c r="P884" s="33">
        <v>0</v>
      </c>
      <c r="Q884" s="33">
        <v>0</v>
      </c>
      <c r="T884" s="33">
        <v>0</v>
      </c>
      <c r="V884" s="32" t="s">
        <v>749</v>
      </c>
    </row>
    <row r="885" spans="1:22" x14ac:dyDescent="0.2">
      <c r="A885" s="32">
        <v>21</v>
      </c>
      <c r="B885" s="32" t="s">
        <v>760</v>
      </c>
      <c r="C885" s="32" t="s">
        <v>1864</v>
      </c>
      <c r="D885" s="33">
        <v>0</v>
      </c>
      <c r="F885" s="33">
        <v>0</v>
      </c>
      <c r="H885" s="33">
        <v>0</v>
      </c>
      <c r="I885" s="33">
        <v>0</v>
      </c>
      <c r="L885" s="33">
        <v>0</v>
      </c>
      <c r="N885" s="33">
        <v>0</v>
      </c>
      <c r="O885" s="33">
        <v>0</v>
      </c>
      <c r="P885" s="33">
        <v>0</v>
      </c>
      <c r="Q885" s="33">
        <v>0</v>
      </c>
      <c r="T885" s="33">
        <v>0</v>
      </c>
      <c r="V885" s="32" t="s">
        <v>749</v>
      </c>
    </row>
    <row r="886" spans="1:22" x14ac:dyDescent="0.2">
      <c r="A886" s="32">
        <v>22</v>
      </c>
      <c r="B886" s="32" t="s">
        <v>761</v>
      </c>
      <c r="D886" s="33">
        <v>100707740</v>
      </c>
      <c r="F886" s="33">
        <v>86299724.418162271</v>
      </c>
      <c r="H886" s="33">
        <v>5223560.284217543</v>
      </c>
      <c r="I886" s="33">
        <v>9184455.2976201847</v>
      </c>
      <c r="L886" s="33">
        <v>763.04225188133717</v>
      </c>
      <c r="N886" s="33">
        <v>9183692.2553683035</v>
      </c>
      <c r="O886" s="33">
        <v>2865544.9948077453</v>
      </c>
      <c r="P886" s="33">
        <v>6318147.2605605591</v>
      </c>
      <c r="Q886" s="33">
        <v>0</v>
      </c>
    </row>
    <row r="887" spans="1:22" x14ac:dyDescent="0.2">
      <c r="F887" s="33"/>
    </row>
    <row r="888" spans="1:22" x14ac:dyDescent="0.2">
      <c r="A888" s="32">
        <v>23</v>
      </c>
      <c r="B888" s="32" t="s">
        <v>1808</v>
      </c>
      <c r="C888" s="32" t="s">
        <v>1809</v>
      </c>
      <c r="D888" s="33">
        <v>3147887.16</v>
      </c>
      <c r="F888" s="33">
        <v>2936188.7806725097</v>
      </c>
      <c r="H888" s="33">
        <v>211698.37932749046</v>
      </c>
      <c r="I888" s="33">
        <v>0</v>
      </c>
      <c r="L888" s="33">
        <v>0</v>
      </c>
      <c r="N888" s="33">
        <v>0</v>
      </c>
      <c r="O888" s="33">
        <v>0</v>
      </c>
      <c r="P888" s="33">
        <v>0</v>
      </c>
      <c r="Q888" s="33">
        <v>0</v>
      </c>
      <c r="T888" s="33">
        <v>3147887.16</v>
      </c>
      <c r="V888" s="32" t="s">
        <v>745</v>
      </c>
    </row>
    <row r="889" spans="1:22" x14ac:dyDescent="0.2">
      <c r="A889" s="32">
        <v>24</v>
      </c>
      <c r="B889" s="32" t="s">
        <v>2587</v>
      </c>
      <c r="C889" s="32" t="s">
        <v>1811</v>
      </c>
      <c r="D889" s="33">
        <v>23057677.960000001</v>
      </c>
      <c r="F889" s="33">
        <v>0</v>
      </c>
      <c r="H889" s="33">
        <v>525361.27</v>
      </c>
      <c r="I889" s="33">
        <v>0</v>
      </c>
      <c r="L889" s="33">
        <v>0</v>
      </c>
      <c r="N889" s="33">
        <v>0</v>
      </c>
      <c r="O889" s="33">
        <v>0</v>
      </c>
      <c r="P889" s="33">
        <v>0</v>
      </c>
      <c r="Q889" s="33">
        <v>0</v>
      </c>
      <c r="T889" s="33">
        <v>23057677.960000001</v>
      </c>
      <c r="V889" s="32" t="s">
        <v>762</v>
      </c>
    </row>
    <row r="890" spans="1:22" x14ac:dyDescent="0.2">
      <c r="A890" s="32">
        <v>25</v>
      </c>
      <c r="B890" s="32" t="s">
        <v>763</v>
      </c>
      <c r="C890" s="32" t="s">
        <v>1794</v>
      </c>
      <c r="D890" s="33">
        <v>-2824747</v>
      </c>
      <c r="F890" s="33">
        <v>0</v>
      </c>
      <c r="H890" s="33">
        <v>-2824747</v>
      </c>
      <c r="I890" s="33">
        <v>0</v>
      </c>
      <c r="L890" s="33">
        <v>0</v>
      </c>
      <c r="N890" s="33">
        <v>0</v>
      </c>
      <c r="O890" s="33">
        <v>0</v>
      </c>
      <c r="P890" s="33">
        <v>0</v>
      </c>
      <c r="Q890" s="33">
        <v>0</v>
      </c>
      <c r="T890" s="33">
        <v>-2824747</v>
      </c>
      <c r="V890" s="32" t="s">
        <v>764</v>
      </c>
    </row>
    <row r="891" spans="1:22" x14ac:dyDescent="0.2">
      <c r="A891" s="32">
        <v>26</v>
      </c>
      <c r="B891" s="32" t="s">
        <v>2588</v>
      </c>
      <c r="C891" s="32" t="s">
        <v>1844</v>
      </c>
      <c r="D891" s="33">
        <v>59597737.969999999</v>
      </c>
      <c r="F891" s="33">
        <v>0</v>
      </c>
      <c r="H891" s="33">
        <v>3265538.018409566</v>
      </c>
      <c r="I891" s="33">
        <v>0</v>
      </c>
      <c r="L891" s="33">
        <v>0</v>
      </c>
      <c r="N891" s="33">
        <v>0</v>
      </c>
      <c r="O891" s="33">
        <v>0</v>
      </c>
      <c r="P891" s="33">
        <v>0</v>
      </c>
      <c r="Q891" s="33">
        <v>0</v>
      </c>
      <c r="T891" s="33">
        <v>59597737.969999999</v>
      </c>
      <c r="V891" s="32" t="s">
        <v>2236</v>
      </c>
    </row>
    <row r="892" spans="1:22" x14ac:dyDescent="0.2">
      <c r="A892" s="32">
        <v>27</v>
      </c>
      <c r="B892" s="32" t="s">
        <v>765</v>
      </c>
      <c r="D892" s="33">
        <v>685882783.09000003</v>
      </c>
      <c r="F892" s="33">
        <v>528879469.81794524</v>
      </c>
      <c r="H892" s="33">
        <v>34996154.290661506</v>
      </c>
      <c r="I892" s="33">
        <v>43142642.339802794</v>
      </c>
      <c r="L892" s="33">
        <v>16318.269196455285</v>
      </c>
      <c r="N892" s="33">
        <v>43126324.070606336</v>
      </c>
      <c r="O892" s="33">
        <v>13644123.070507936</v>
      </c>
      <c r="P892" s="33">
        <v>29482201.0000984</v>
      </c>
      <c r="Q892" s="33">
        <v>6.5897646045559955E-13</v>
      </c>
    </row>
    <row r="893" spans="1:22" x14ac:dyDescent="0.2">
      <c r="F893" s="33"/>
    </row>
    <row r="894" spans="1:22" x14ac:dyDescent="0.2">
      <c r="A894" s="32">
        <v>28</v>
      </c>
      <c r="B894" s="32" t="s">
        <v>36</v>
      </c>
      <c r="D894" s="33">
        <v>3977227798.518302</v>
      </c>
      <c r="F894" s="33">
        <v>3550375898.9468842</v>
      </c>
      <c r="H894" s="33">
        <v>216540257.81030622</v>
      </c>
      <c r="I894" s="33">
        <v>289176158.40270245</v>
      </c>
      <c r="L894" s="33">
        <v>37845.191210532408</v>
      </c>
      <c r="N894" s="33">
        <v>289138313.21149194</v>
      </c>
      <c r="O894" s="33">
        <v>91830469.28928861</v>
      </c>
      <c r="P894" s="33">
        <v>197307843.92220336</v>
      </c>
      <c r="Q894" s="33">
        <v>6.3497674745248559E-12</v>
      </c>
    </row>
    <row r="895" spans="1:22" x14ac:dyDescent="0.2">
      <c r="F895" s="33"/>
    </row>
    <row r="896" spans="1:22" x14ac:dyDescent="0.2">
      <c r="F896" s="33"/>
    </row>
    <row r="897" spans="1:23" x14ac:dyDescent="0.2">
      <c r="B897" s="32" t="s">
        <v>1338</v>
      </c>
      <c r="F897" s="33"/>
    </row>
    <row r="898" spans="1:23" x14ac:dyDescent="0.2">
      <c r="F898" s="33"/>
    </row>
    <row r="899" spans="1:23" x14ac:dyDescent="0.2">
      <c r="B899" s="32" t="s">
        <v>766</v>
      </c>
      <c r="F899" s="33"/>
    </row>
    <row r="900" spans="1:23" x14ac:dyDescent="0.2">
      <c r="A900" s="32">
        <v>1</v>
      </c>
      <c r="B900" s="32" t="s">
        <v>2589</v>
      </c>
      <c r="D900" s="33">
        <v>509303762.84999996</v>
      </c>
      <c r="F900" s="33">
        <v>476589863.13999999</v>
      </c>
      <c r="H900" s="33">
        <v>32707844.710000001</v>
      </c>
      <c r="I900" s="33">
        <v>6055</v>
      </c>
      <c r="L900" s="33">
        <v>6055</v>
      </c>
      <c r="N900" s="33">
        <v>0</v>
      </c>
      <c r="O900" s="33">
        <v>0</v>
      </c>
      <c r="P900" s="33">
        <v>0</v>
      </c>
      <c r="Q900" s="33">
        <v>0</v>
      </c>
    </row>
    <row r="901" spans="1:23" x14ac:dyDescent="0.2">
      <c r="A901" s="32">
        <v>2</v>
      </c>
      <c r="B901" s="32" t="s">
        <v>2590</v>
      </c>
      <c r="D901" s="33">
        <v>181449246.41</v>
      </c>
      <c r="F901" s="33">
        <v>175113848.34</v>
      </c>
      <c r="H901" s="33">
        <v>6335398.0700000003</v>
      </c>
      <c r="I901" s="33">
        <v>0</v>
      </c>
      <c r="L901" s="33">
        <v>0</v>
      </c>
      <c r="N901" s="33">
        <v>0</v>
      </c>
      <c r="O901" s="33">
        <v>0</v>
      </c>
      <c r="P901" s="33">
        <v>0</v>
      </c>
      <c r="Q901" s="33">
        <v>0</v>
      </c>
    </row>
    <row r="902" spans="1:23" x14ac:dyDescent="0.2">
      <c r="A902" s="32">
        <v>3</v>
      </c>
      <c r="B902" s="32" t="s">
        <v>2591</v>
      </c>
      <c r="D902" s="33">
        <v>159939302.09999999</v>
      </c>
      <c r="F902" s="33">
        <v>149946898.97</v>
      </c>
      <c r="H902" s="33">
        <v>9992403.1300000008</v>
      </c>
      <c r="I902" s="33">
        <v>0</v>
      </c>
      <c r="L902" s="33">
        <v>0</v>
      </c>
      <c r="N902" s="33">
        <v>0</v>
      </c>
      <c r="O902" s="33">
        <v>0</v>
      </c>
      <c r="P902" s="33">
        <v>0</v>
      </c>
      <c r="Q902" s="33">
        <v>0</v>
      </c>
    </row>
    <row r="903" spans="1:23" x14ac:dyDescent="0.2">
      <c r="A903" s="32">
        <v>4</v>
      </c>
      <c r="B903" s="32" t="s">
        <v>2592</v>
      </c>
      <c r="D903" s="33">
        <v>342664408.80000001</v>
      </c>
      <c r="F903" s="33">
        <v>339425792.10000002</v>
      </c>
      <c r="H903" s="33">
        <v>3238616.7</v>
      </c>
      <c r="I903" s="33">
        <v>0</v>
      </c>
      <c r="L903" s="33">
        <v>0</v>
      </c>
      <c r="N903" s="33">
        <v>0</v>
      </c>
      <c r="O903" s="33">
        <v>0</v>
      </c>
      <c r="P903" s="33">
        <v>0</v>
      </c>
      <c r="Q903" s="33">
        <v>0</v>
      </c>
    </row>
    <row r="904" spans="1:23" x14ac:dyDescent="0.2">
      <c r="A904" s="32">
        <v>5</v>
      </c>
      <c r="B904" s="32" t="s">
        <v>2593</v>
      </c>
      <c r="D904" s="33">
        <v>43926568.659999996</v>
      </c>
      <c r="F904" s="33">
        <v>29838195.829999998</v>
      </c>
      <c r="H904" s="33">
        <v>14088372.83</v>
      </c>
      <c r="I904" s="33">
        <v>0</v>
      </c>
      <c r="L904" s="33">
        <v>0</v>
      </c>
      <c r="N904" s="33">
        <v>0</v>
      </c>
      <c r="O904" s="33">
        <v>0</v>
      </c>
      <c r="P904" s="33">
        <v>0</v>
      </c>
      <c r="Q904" s="33">
        <v>0</v>
      </c>
    </row>
    <row r="905" spans="1:23" x14ac:dyDescent="0.2">
      <c r="A905" s="32">
        <v>6</v>
      </c>
      <c r="B905" s="32" t="s">
        <v>2594</v>
      </c>
      <c r="D905" s="33">
        <v>10746104.729999999</v>
      </c>
      <c r="F905" s="33">
        <v>10423249.619999999</v>
      </c>
      <c r="H905" s="33">
        <v>322855.11</v>
      </c>
      <c r="I905" s="33">
        <v>0</v>
      </c>
      <c r="L905" s="33">
        <v>0</v>
      </c>
      <c r="N905" s="33">
        <v>0</v>
      </c>
      <c r="O905" s="33">
        <v>0</v>
      </c>
      <c r="P905" s="33">
        <v>0</v>
      </c>
      <c r="Q905" s="33">
        <v>0</v>
      </c>
    </row>
    <row r="906" spans="1:23" x14ac:dyDescent="0.2">
      <c r="A906" s="32">
        <v>7</v>
      </c>
      <c r="B906" s="32" t="s">
        <v>2595</v>
      </c>
      <c r="D906" s="33">
        <v>111947307.06</v>
      </c>
      <c r="F906" s="33">
        <v>105659336.56</v>
      </c>
      <c r="H906" s="33">
        <v>6287970.5</v>
      </c>
      <c r="I906" s="33">
        <v>0</v>
      </c>
      <c r="L906" s="33">
        <v>0</v>
      </c>
      <c r="N906" s="33">
        <v>0</v>
      </c>
      <c r="O906" s="33">
        <v>0</v>
      </c>
      <c r="P906" s="33">
        <v>0</v>
      </c>
      <c r="Q906" s="33">
        <v>0</v>
      </c>
    </row>
    <row r="907" spans="1:23" x14ac:dyDescent="0.2">
      <c r="A907" s="32">
        <v>8</v>
      </c>
      <c r="B907" s="32" t="s">
        <v>2596</v>
      </c>
      <c r="D907" s="33">
        <v>4874900.92</v>
      </c>
      <c r="F907" s="33">
        <v>4703886.5199999996</v>
      </c>
      <c r="H907" s="33">
        <v>171014.39999999999</v>
      </c>
      <c r="I907" s="33">
        <v>0</v>
      </c>
      <c r="L907" s="33">
        <v>0</v>
      </c>
      <c r="N907" s="33">
        <v>0</v>
      </c>
      <c r="O907" s="33">
        <v>0</v>
      </c>
      <c r="P907" s="33">
        <v>0</v>
      </c>
      <c r="Q907" s="33">
        <v>0</v>
      </c>
    </row>
    <row r="908" spans="1:23" x14ac:dyDescent="0.2">
      <c r="A908" s="32">
        <v>9</v>
      </c>
      <c r="B908" s="32" t="s">
        <v>2597</v>
      </c>
      <c r="D908" s="33">
        <v>98298884.889999986</v>
      </c>
      <c r="F908" s="33">
        <v>0</v>
      </c>
      <c r="H908" s="33">
        <v>0</v>
      </c>
      <c r="I908" s="33">
        <v>98298884.889999986</v>
      </c>
      <c r="L908" s="33">
        <v>0</v>
      </c>
      <c r="N908" s="33">
        <v>98298884.889999986</v>
      </c>
      <c r="O908" s="33">
        <v>31838591.359999999</v>
      </c>
      <c r="P908" s="33">
        <v>66460293.529999994</v>
      </c>
      <c r="Q908" s="33">
        <v>0</v>
      </c>
    </row>
    <row r="909" spans="1:23" x14ac:dyDescent="0.2">
      <c r="A909" s="32">
        <v>10</v>
      </c>
      <c r="B909" s="32" t="s">
        <v>2598</v>
      </c>
      <c r="C909" s="32" t="s">
        <v>1795</v>
      </c>
      <c r="D909" s="33">
        <v>2912962.3200000003</v>
      </c>
      <c r="F909" s="33">
        <v>2527189.6272730194</v>
      </c>
      <c r="H909" s="33">
        <v>133623.58242474726</v>
      </c>
      <c r="I909" s="33">
        <v>252149.11030223337</v>
      </c>
      <c r="L909" s="33">
        <v>13.892260303447387</v>
      </c>
      <c r="N909" s="33">
        <v>252135.21804192991</v>
      </c>
      <c r="O909" s="33">
        <v>82308.675019026006</v>
      </c>
      <c r="P909" s="33">
        <v>169826.5430229039</v>
      </c>
      <c r="Q909" s="33">
        <v>0</v>
      </c>
      <c r="T909" s="33">
        <v>2912962.3200000003</v>
      </c>
      <c r="W909" s="32" t="s">
        <v>2599</v>
      </c>
    </row>
    <row r="910" spans="1:23" x14ac:dyDescent="0.2">
      <c r="A910" s="32">
        <v>11</v>
      </c>
      <c r="B910" s="32" t="s">
        <v>2600</v>
      </c>
      <c r="F910" s="33"/>
    </row>
    <row r="911" spans="1:23" x14ac:dyDescent="0.2">
      <c r="A911" s="32">
        <v>12</v>
      </c>
      <c r="B911" s="32" t="s">
        <v>2601</v>
      </c>
      <c r="C911" s="32" t="s">
        <v>1674</v>
      </c>
      <c r="D911" s="33">
        <v>0</v>
      </c>
      <c r="F911" s="33">
        <v>0</v>
      </c>
      <c r="H911" s="33">
        <v>0</v>
      </c>
      <c r="I911" s="33">
        <v>0</v>
      </c>
      <c r="L911" s="33">
        <v>0</v>
      </c>
      <c r="N911" s="33">
        <v>0</v>
      </c>
      <c r="O911" s="33">
        <v>0</v>
      </c>
      <c r="P911" s="33">
        <v>0</v>
      </c>
      <c r="Q911" s="33">
        <v>0</v>
      </c>
    </row>
    <row r="912" spans="1:23" x14ac:dyDescent="0.2">
      <c r="A912" s="32">
        <v>13</v>
      </c>
      <c r="B912" s="32" t="s">
        <v>2602</v>
      </c>
      <c r="C912" s="32" t="s">
        <v>1795</v>
      </c>
      <c r="D912" s="33">
        <v>29862147</v>
      </c>
      <c r="F912" s="33">
        <v>25907409.659353957</v>
      </c>
      <c r="H912" s="33">
        <v>1369838.1999786454</v>
      </c>
      <c r="I912" s="33">
        <v>2584899.1406673966</v>
      </c>
      <c r="L912" s="33">
        <v>142.41609529086199</v>
      </c>
      <c r="N912" s="33">
        <v>2584756.7245721058</v>
      </c>
      <c r="O912" s="33">
        <v>843784.94562654768</v>
      </c>
      <c r="P912" s="33">
        <v>1740971.7789455582</v>
      </c>
      <c r="Q912" s="33">
        <v>0</v>
      </c>
      <c r="T912" s="33">
        <v>29862147</v>
      </c>
    </row>
    <row r="913" spans="1:29" x14ac:dyDescent="0.2">
      <c r="A913" s="32">
        <v>14</v>
      </c>
      <c r="B913" s="32" t="s">
        <v>2603</v>
      </c>
      <c r="D913" s="33">
        <v>29862147</v>
      </c>
      <c r="F913" s="33">
        <v>25907409.659353957</v>
      </c>
      <c r="H913" s="33">
        <v>1369838.1999786454</v>
      </c>
      <c r="I913" s="33">
        <v>2584899.1406673966</v>
      </c>
      <c r="L913" s="33">
        <v>142.41609529086199</v>
      </c>
      <c r="N913" s="33">
        <v>2584756.7245721058</v>
      </c>
      <c r="O913" s="33">
        <v>843784.94562654768</v>
      </c>
      <c r="P913" s="33">
        <v>1740971.7789455582</v>
      </c>
      <c r="Q913" s="33">
        <v>0</v>
      </c>
    </row>
    <row r="914" spans="1:29" x14ac:dyDescent="0.2">
      <c r="F914" s="33"/>
    </row>
    <row r="915" spans="1:29" x14ac:dyDescent="0.2">
      <c r="A915" s="32">
        <v>15</v>
      </c>
      <c r="B915" s="32" t="s">
        <v>2604</v>
      </c>
      <c r="D915" s="33">
        <v>0</v>
      </c>
      <c r="F915" s="33">
        <v>0</v>
      </c>
      <c r="H915" s="33">
        <v>0</v>
      </c>
      <c r="I915" s="33">
        <v>0</v>
      </c>
      <c r="L915" s="33">
        <v>0</v>
      </c>
      <c r="N915" s="33">
        <v>0</v>
      </c>
      <c r="O915" s="33">
        <v>0</v>
      </c>
      <c r="P915" s="33">
        <v>0</v>
      </c>
      <c r="Q915" s="33">
        <v>0</v>
      </c>
    </row>
    <row r="916" spans="1:29" x14ac:dyDescent="0.2">
      <c r="F916" s="33"/>
    </row>
    <row r="917" spans="1:29" x14ac:dyDescent="0.2">
      <c r="A917" s="32">
        <v>16</v>
      </c>
      <c r="B917" s="32" t="s">
        <v>2605</v>
      </c>
      <c r="D917" s="33">
        <v>1495925595.7400002</v>
      </c>
      <c r="F917" s="33">
        <v>1320135670.366627</v>
      </c>
      <c r="H917" s="33">
        <v>74647937.232403412</v>
      </c>
      <c r="I917" s="33">
        <v>101141988.14096963</v>
      </c>
      <c r="L917" s="33">
        <v>6211.3083555943094</v>
      </c>
      <c r="N917" s="33">
        <v>101135776.83261403</v>
      </c>
      <c r="O917" s="33">
        <v>32764684.980645575</v>
      </c>
      <c r="P917" s="33">
        <v>68371091.851968452</v>
      </c>
      <c r="Q917" s="33">
        <v>0</v>
      </c>
    </row>
    <row r="918" spans="1:29" x14ac:dyDescent="0.2">
      <c r="F918" s="33"/>
    </row>
    <row r="919" spans="1:29" x14ac:dyDescent="0.2">
      <c r="B919" s="32" t="s">
        <v>767</v>
      </c>
      <c r="F919" s="33"/>
    </row>
    <row r="920" spans="1:29" x14ac:dyDescent="0.2">
      <c r="A920" s="32">
        <v>17</v>
      </c>
      <c r="B920" s="32" t="s">
        <v>2606</v>
      </c>
      <c r="C920" s="32" t="s">
        <v>2455</v>
      </c>
      <c r="D920" s="33">
        <v>7125786</v>
      </c>
      <c r="F920" s="33">
        <v>6910623.978525958</v>
      </c>
      <c r="H920" s="33">
        <v>213936.55140869084</v>
      </c>
      <c r="I920" s="33">
        <v>1225.4700653511941</v>
      </c>
      <c r="L920" s="33">
        <v>0</v>
      </c>
      <c r="N920" s="33">
        <v>1225.4700653511941</v>
      </c>
      <c r="O920" s="33">
        <v>1198.6500639209519</v>
      </c>
      <c r="P920" s="33">
        <v>26.820001430242296</v>
      </c>
      <c r="Q920" s="33">
        <v>0</v>
      </c>
      <c r="T920" s="33">
        <v>7125786</v>
      </c>
    </row>
    <row r="921" spans="1:29" x14ac:dyDescent="0.2">
      <c r="A921" s="32">
        <v>18</v>
      </c>
      <c r="B921" s="32" t="s">
        <v>2607</v>
      </c>
      <c r="C921" s="32" t="s">
        <v>2445</v>
      </c>
      <c r="D921" s="33">
        <v>1791597</v>
      </c>
      <c r="F921" s="33">
        <v>1659612.2684171903</v>
      </c>
      <c r="H921" s="33">
        <v>131984.73158280971</v>
      </c>
      <c r="I921" s="33">
        <v>0</v>
      </c>
      <c r="L921" s="33">
        <v>0</v>
      </c>
      <c r="N921" s="33">
        <v>0</v>
      </c>
      <c r="O921" s="33">
        <v>0</v>
      </c>
      <c r="P921" s="33">
        <v>0</v>
      </c>
      <c r="Q921" s="33">
        <v>0</v>
      </c>
      <c r="T921" s="33">
        <v>1791597</v>
      </c>
    </row>
    <row r="922" spans="1:29" x14ac:dyDescent="0.2">
      <c r="A922" s="32">
        <v>19</v>
      </c>
      <c r="B922" s="32" t="s">
        <v>2608</v>
      </c>
      <c r="C922" s="32" t="s">
        <v>2447</v>
      </c>
      <c r="D922" s="33">
        <v>559380</v>
      </c>
      <c r="F922" s="33">
        <v>547024.67536161793</v>
      </c>
      <c r="H922" s="33">
        <v>12355.324638382092</v>
      </c>
      <c r="I922" s="33">
        <v>0</v>
      </c>
      <c r="L922" s="33">
        <v>0</v>
      </c>
      <c r="N922" s="33">
        <v>0</v>
      </c>
      <c r="O922" s="33">
        <v>0</v>
      </c>
      <c r="P922" s="33">
        <v>0</v>
      </c>
      <c r="Q922" s="33">
        <v>0</v>
      </c>
      <c r="T922" s="33">
        <v>559380</v>
      </c>
      <c r="AA922" s="32" t="s">
        <v>2609</v>
      </c>
    </row>
    <row r="923" spans="1:29" x14ac:dyDescent="0.2">
      <c r="A923" s="32">
        <v>20</v>
      </c>
      <c r="B923" s="32" t="s">
        <v>2610</v>
      </c>
      <c r="C923" s="32" t="s">
        <v>2439</v>
      </c>
      <c r="D923" s="33">
        <v>2338708.0000000005</v>
      </c>
      <c r="F923" s="33">
        <v>2153990.4323694822</v>
      </c>
      <c r="H923" s="33">
        <v>184358.56763512292</v>
      </c>
      <c r="I923" s="33">
        <v>358.99999539489335</v>
      </c>
      <c r="L923" s="33">
        <v>358.99999539489335</v>
      </c>
      <c r="N923" s="33">
        <v>0</v>
      </c>
      <c r="O923" s="33">
        <v>0</v>
      </c>
      <c r="P923" s="33">
        <v>0</v>
      </c>
      <c r="Q923" s="33">
        <v>0</v>
      </c>
      <c r="T923" s="33">
        <v>2338708</v>
      </c>
      <c r="Y923" s="32" t="s">
        <v>2611</v>
      </c>
      <c r="AA923" s="32" t="s">
        <v>82</v>
      </c>
      <c r="AB923" s="32" t="s">
        <v>2612</v>
      </c>
      <c r="AC923" s="32" t="s">
        <v>552</v>
      </c>
    </row>
    <row r="924" spans="1:29" x14ac:dyDescent="0.2">
      <c r="A924" s="32">
        <v>21</v>
      </c>
      <c r="B924" s="32" t="s">
        <v>2613</v>
      </c>
      <c r="C924" s="32" t="s">
        <v>2389</v>
      </c>
      <c r="D924" s="33">
        <v>14103930</v>
      </c>
      <c r="F924" s="33">
        <v>10488823.331374643</v>
      </c>
      <c r="H924" s="33">
        <v>616201.45514520886</v>
      </c>
      <c r="I924" s="33">
        <v>2998905.2134801485</v>
      </c>
      <c r="L924" s="33">
        <v>92.773480148330151</v>
      </c>
      <c r="N924" s="33">
        <v>2998812.44</v>
      </c>
      <c r="O924" s="33">
        <v>888558.42</v>
      </c>
      <c r="P924" s="33">
        <v>2110254.02</v>
      </c>
      <c r="Q924" s="33">
        <v>0</v>
      </c>
      <c r="T924" s="33">
        <v>11108931.76</v>
      </c>
      <c r="W924" s="32" t="s">
        <v>2611</v>
      </c>
      <c r="Y924" s="32">
        <v>-3814.2000000000003</v>
      </c>
      <c r="AA924" s="32">
        <v>2998812.44</v>
      </c>
      <c r="AB924" s="32">
        <v>888558.42</v>
      </c>
      <c r="AC924" s="32">
        <v>2110254.02</v>
      </c>
    </row>
    <row r="925" spans="1:29" x14ac:dyDescent="0.2">
      <c r="A925" s="32">
        <v>22</v>
      </c>
      <c r="B925" s="32" t="s">
        <v>2614</v>
      </c>
      <c r="C925" s="32" t="s">
        <v>2459</v>
      </c>
      <c r="D925" s="33">
        <v>17113</v>
      </c>
      <c r="F925" s="33">
        <v>17113</v>
      </c>
      <c r="H925" s="33">
        <v>0</v>
      </c>
      <c r="I925" s="33">
        <v>0</v>
      </c>
      <c r="L925" s="33">
        <v>0</v>
      </c>
      <c r="N925" s="33">
        <v>0</v>
      </c>
      <c r="O925" s="33">
        <v>0</v>
      </c>
      <c r="P925" s="33">
        <v>0</v>
      </c>
      <c r="Q925" s="33">
        <v>0</v>
      </c>
      <c r="T925" s="33">
        <v>17113</v>
      </c>
    </row>
    <row r="926" spans="1:29" x14ac:dyDescent="0.2">
      <c r="A926" s="32">
        <v>23</v>
      </c>
      <c r="B926" s="32" t="s">
        <v>2615</v>
      </c>
      <c r="C926" s="32" t="s">
        <v>2449</v>
      </c>
      <c r="D926" s="33">
        <v>139732</v>
      </c>
      <c r="F926" s="33">
        <v>130861.99047819091</v>
      </c>
      <c r="H926" s="33">
        <v>8870.0095218090937</v>
      </c>
      <c r="I926" s="33">
        <v>0</v>
      </c>
      <c r="L926" s="33">
        <v>0</v>
      </c>
      <c r="N926" s="33">
        <v>0</v>
      </c>
      <c r="O926" s="33">
        <v>0</v>
      </c>
      <c r="P926" s="33">
        <v>0</v>
      </c>
      <c r="Q926" s="33">
        <v>0</v>
      </c>
      <c r="T926" s="33">
        <v>139732</v>
      </c>
    </row>
    <row r="927" spans="1:29" x14ac:dyDescent="0.2">
      <c r="A927" s="32">
        <v>24</v>
      </c>
      <c r="B927" s="32" t="s">
        <v>2616</v>
      </c>
      <c r="C927" s="32" t="s">
        <v>2443</v>
      </c>
      <c r="D927" s="33">
        <v>22525</v>
      </c>
      <c r="F927" s="33">
        <v>22525</v>
      </c>
      <c r="H927" s="33">
        <v>0</v>
      </c>
      <c r="I927" s="33">
        <v>0</v>
      </c>
      <c r="L927" s="33">
        <v>0</v>
      </c>
      <c r="N927" s="33">
        <v>0</v>
      </c>
      <c r="O927" s="33">
        <v>0</v>
      </c>
      <c r="P927" s="33">
        <v>0</v>
      </c>
      <c r="Q927" s="33">
        <v>0</v>
      </c>
      <c r="T927" s="33">
        <v>22525</v>
      </c>
    </row>
    <row r="928" spans="1:29" x14ac:dyDescent="0.2">
      <c r="A928" s="32">
        <v>25</v>
      </c>
      <c r="B928" s="32" t="s">
        <v>2617</v>
      </c>
      <c r="C928" s="32" t="s">
        <v>2441</v>
      </c>
      <c r="D928" s="33">
        <v>15192.000000000002</v>
      </c>
      <c r="F928" s="33">
        <v>14276.52229638957</v>
      </c>
      <c r="H928" s="33">
        <v>915.47770361043069</v>
      </c>
      <c r="I928" s="33">
        <v>0</v>
      </c>
      <c r="L928" s="33">
        <v>0</v>
      </c>
      <c r="N928" s="33">
        <v>0</v>
      </c>
      <c r="O928" s="33">
        <v>0</v>
      </c>
      <c r="P928" s="33">
        <v>0</v>
      </c>
      <c r="Q928" s="33">
        <v>0</v>
      </c>
      <c r="T928" s="33">
        <v>15192</v>
      </c>
    </row>
    <row r="929" spans="1:31" x14ac:dyDescent="0.2">
      <c r="A929" s="32">
        <v>26</v>
      </c>
      <c r="B929" s="32" t="s">
        <v>2618</v>
      </c>
      <c r="C929" s="32" t="s">
        <v>2459</v>
      </c>
      <c r="D929" s="33">
        <v>-3602</v>
      </c>
      <c r="F929" s="33">
        <v>-3602</v>
      </c>
      <c r="H929" s="33">
        <v>0</v>
      </c>
      <c r="I929" s="33">
        <v>0</v>
      </c>
      <c r="L929" s="33">
        <v>0</v>
      </c>
      <c r="N929" s="33">
        <v>0</v>
      </c>
      <c r="O929" s="33">
        <v>0</v>
      </c>
      <c r="P929" s="33">
        <v>0</v>
      </c>
      <c r="Q929" s="33">
        <v>0</v>
      </c>
      <c r="T929" s="33">
        <v>-3602</v>
      </c>
    </row>
    <row r="930" spans="1:31" x14ac:dyDescent="0.2">
      <c r="A930" s="32">
        <v>27</v>
      </c>
      <c r="B930" s="32" t="s">
        <v>768</v>
      </c>
      <c r="D930" s="33">
        <v>26110361.000000004</v>
      </c>
      <c r="F930" s="33">
        <v>21941249.198823474</v>
      </c>
      <c r="H930" s="33">
        <v>1168622.117635634</v>
      </c>
      <c r="I930" s="33">
        <v>3000489.6835408946</v>
      </c>
      <c r="L930" s="33">
        <v>451.77347554322353</v>
      </c>
      <c r="N930" s="33">
        <v>3000037.9100653515</v>
      </c>
      <c r="O930" s="33">
        <v>889757.07006392104</v>
      </c>
      <c r="P930" s="33">
        <v>2110280.8400014304</v>
      </c>
      <c r="Q930" s="33">
        <v>0</v>
      </c>
    </row>
    <row r="931" spans="1:31" x14ac:dyDescent="0.2">
      <c r="F931" s="33"/>
      <c r="W931" s="32" t="s">
        <v>769</v>
      </c>
    </row>
    <row r="932" spans="1:31" x14ac:dyDescent="0.2">
      <c r="A932" s="32">
        <v>28</v>
      </c>
      <c r="B932" s="32" t="s">
        <v>770</v>
      </c>
      <c r="D932" s="33">
        <v>1522035956.74</v>
      </c>
      <c r="F932" s="33">
        <v>1342076919.5654504</v>
      </c>
      <c r="H932" s="33">
        <v>75816559.35003905</v>
      </c>
      <c r="I932" s="33">
        <v>104142477.82451053</v>
      </c>
      <c r="L932" s="33">
        <v>6663.0818311375333</v>
      </c>
      <c r="N932" s="33">
        <v>104135814.74267939</v>
      </c>
      <c r="O932" s="33">
        <v>33654442.050709493</v>
      </c>
      <c r="P932" s="33">
        <v>70481372.691969886</v>
      </c>
      <c r="Q932" s="33">
        <v>0</v>
      </c>
      <c r="W932" s="32">
        <v>1522035957.1099999</v>
      </c>
      <c r="X932" s="32">
        <v>-0.36999988555908203</v>
      </c>
    </row>
    <row r="933" spans="1:31" x14ac:dyDescent="0.2">
      <c r="F933" s="33"/>
    </row>
    <row r="934" spans="1:31" x14ac:dyDescent="0.2">
      <c r="F934" s="33"/>
    </row>
    <row r="935" spans="1:31" x14ac:dyDescent="0.2">
      <c r="B935" s="32" t="s">
        <v>771</v>
      </c>
      <c r="F935" s="33"/>
    </row>
    <row r="936" spans="1:31" x14ac:dyDescent="0.2">
      <c r="F936" s="33"/>
    </row>
    <row r="937" spans="1:31" x14ac:dyDescent="0.2">
      <c r="B937" s="32" t="s">
        <v>772</v>
      </c>
      <c r="F937" s="33"/>
      <c r="Y937" s="32" t="s">
        <v>2619</v>
      </c>
      <c r="Z937" s="32" t="s">
        <v>2612</v>
      </c>
      <c r="AA937" s="32" t="s">
        <v>552</v>
      </c>
    </row>
    <row r="938" spans="1:31" x14ac:dyDescent="0.2">
      <c r="A938" s="32">
        <v>1</v>
      </c>
      <c r="B938" s="32" t="s">
        <v>773</v>
      </c>
      <c r="C938" s="32" t="s">
        <v>1770</v>
      </c>
      <c r="D938" s="33">
        <v>5863734.8500000006</v>
      </c>
      <c r="F938" s="33">
        <v>5020058.5214573201</v>
      </c>
      <c r="H938" s="33">
        <v>305263.99230084603</v>
      </c>
      <c r="I938" s="33">
        <v>538412.33624183445</v>
      </c>
      <c r="L938" s="33">
        <v>44.386199198368878</v>
      </c>
      <c r="N938" s="33">
        <v>538367.95004263613</v>
      </c>
      <c r="O938" s="33">
        <v>167984.46003107197</v>
      </c>
      <c r="P938" s="33">
        <v>370383.49001156411</v>
      </c>
      <c r="Q938" s="33">
        <v>0</v>
      </c>
      <c r="T938" s="33">
        <v>5863734.8500000006</v>
      </c>
      <c r="U938" s="32">
        <v>500</v>
      </c>
      <c r="W938" s="32">
        <v>5863734.8500000006</v>
      </c>
      <c r="X938" s="32">
        <v>0</v>
      </c>
    </row>
    <row r="939" spans="1:31" x14ac:dyDescent="0.2">
      <c r="A939" s="32">
        <v>2</v>
      </c>
      <c r="B939" s="32" t="s">
        <v>774</v>
      </c>
      <c r="C939" s="32" t="s">
        <v>1795</v>
      </c>
      <c r="D939" s="33">
        <v>485118156.84999996</v>
      </c>
      <c r="F939" s="33">
        <v>420872445.06242895</v>
      </c>
      <c r="H939" s="33">
        <v>22253369.215427212</v>
      </c>
      <c r="I939" s="33">
        <v>41992342.572143801</v>
      </c>
      <c r="L939" s="33">
        <v>2313.5856123565709</v>
      </c>
      <c r="N939" s="33">
        <v>41990028.986531444</v>
      </c>
      <c r="O939" s="33">
        <v>13707500.58929548</v>
      </c>
      <c r="P939" s="33">
        <v>28282528.397235963</v>
      </c>
      <c r="Q939" s="33">
        <v>0</v>
      </c>
      <c r="T939" s="33">
        <v>485118156.84999996</v>
      </c>
      <c r="U939" s="32">
        <v>501</v>
      </c>
      <c r="W939" s="32">
        <v>485118156.84999996</v>
      </c>
      <c r="X939" s="32">
        <v>0</v>
      </c>
    </row>
    <row r="940" spans="1:31" x14ac:dyDescent="0.2">
      <c r="A940" s="32">
        <v>3</v>
      </c>
      <c r="B940" s="32" t="s">
        <v>775</v>
      </c>
      <c r="C940" s="32" t="s">
        <v>1142</v>
      </c>
      <c r="D940" s="33">
        <v>0</v>
      </c>
      <c r="F940" s="33">
        <v>0</v>
      </c>
      <c r="H940" s="33">
        <v>0</v>
      </c>
      <c r="I940" s="33">
        <v>0</v>
      </c>
      <c r="L940" s="33">
        <v>0</v>
      </c>
      <c r="N940" s="33">
        <v>0</v>
      </c>
      <c r="O940" s="33">
        <v>0</v>
      </c>
      <c r="P940" s="33">
        <v>0</v>
      </c>
      <c r="Q940" s="33">
        <v>0</v>
      </c>
    </row>
    <row r="941" spans="1:31" x14ac:dyDescent="0.2">
      <c r="A941" s="32">
        <v>4</v>
      </c>
      <c r="B941" s="32" t="s">
        <v>776</v>
      </c>
      <c r="C941" s="32" t="s">
        <v>1770</v>
      </c>
      <c r="D941" s="33">
        <v>17641803.080000002</v>
      </c>
      <c r="F941" s="33">
        <v>15103336.244892649</v>
      </c>
      <c r="H941" s="33">
        <v>918416.52830763638</v>
      </c>
      <c r="I941" s="33">
        <v>1620050.3067997138</v>
      </c>
      <c r="L941" s="33">
        <v>133.54021437406249</v>
      </c>
      <c r="N941" s="33">
        <v>1619916.7665853398</v>
      </c>
      <c r="O941" s="33">
        <v>505455.13214255736</v>
      </c>
      <c r="P941" s="33">
        <v>1114461.6344427825</v>
      </c>
      <c r="Q941" s="33">
        <v>0</v>
      </c>
      <c r="T941" s="33">
        <v>17641618.859999999</v>
      </c>
      <c r="U941" s="32">
        <v>502</v>
      </c>
      <c r="V941" s="32">
        <v>504</v>
      </c>
      <c r="W941" s="32">
        <v>17641803.079999998</v>
      </c>
      <c r="X941" s="32">
        <v>0</v>
      </c>
      <c r="Y941" s="32">
        <v>184.22</v>
      </c>
      <c r="Z941" s="32">
        <v>57.481314079846875</v>
      </c>
      <c r="AA941" s="32">
        <v>126.73868592015312</v>
      </c>
      <c r="AB941" s="32">
        <v>2.8648031387550198E-2</v>
      </c>
      <c r="AC941" s="32">
        <v>6.3165115662002363E-2</v>
      </c>
      <c r="AD941" s="32">
        <v>9.1813147049552568E-2</v>
      </c>
      <c r="AE941" s="32" t="s">
        <v>1770</v>
      </c>
    </row>
    <row r="942" spans="1:31" x14ac:dyDescent="0.2">
      <c r="A942" s="32">
        <v>5</v>
      </c>
      <c r="B942" s="32" t="s">
        <v>777</v>
      </c>
      <c r="C942" s="32" t="s">
        <v>1770</v>
      </c>
      <c r="D942" s="33">
        <v>7242233.3499999996</v>
      </c>
      <c r="F942" s="33">
        <v>6200218.1498793196</v>
      </c>
      <c r="H942" s="33">
        <v>377028.14369161491</v>
      </c>
      <c r="I942" s="33">
        <v>664987.05642906518</v>
      </c>
      <c r="L942" s="33">
        <v>54.820898341638056</v>
      </c>
      <c r="N942" s="33">
        <v>664932.23553072358</v>
      </c>
      <c r="O942" s="33">
        <v>207475.72832676279</v>
      </c>
      <c r="P942" s="33">
        <v>457456.50720396085</v>
      </c>
      <c r="Q942" s="33">
        <v>0</v>
      </c>
      <c r="T942" s="33">
        <v>7242233.3499999996</v>
      </c>
      <c r="U942" s="32">
        <v>505</v>
      </c>
      <c r="W942" s="32">
        <v>7242233.3499999996</v>
      </c>
      <c r="X942" s="32">
        <v>0</v>
      </c>
      <c r="Y942" s="32">
        <v>0</v>
      </c>
      <c r="Z942" s="32">
        <v>0</v>
      </c>
      <c r="AA942" s="32">
        <v>0</v>
      </c>
    </row>
    <row r="943" spans="1:31" x14ac:dyDescent="0.2">
      <c r="A943" s="32">
        <v>6</v>
      </c>
      <c r="B943" s="32" t="s">
        <v>778</v>
      </c>
      <c r="C943" s="32" t="s">
        <v>1770</v>
      </c>
      <c r="D943" s="33">
        <v>24650925.360000003</v>
      </c>
      <c r="F943" s="33">
        <v>21102859.757187854</v>
      </c>
      <c r="H943" s="33">
        <v>1283240.6616196046</v>
      </c>
      <c r="I943" s="33">
        <v>2264824.941192545</v>
      </c>
      <c r="L943" s="33">
        <v>186.5866170352663</v>
      </c>
      <c r="N943" s="33">
        <v>2264638.3545755097</v>
      </c>
      <c r="O943" s="33">
        <v>706624.62564663182</v>
      </c>
      <c r="P943" s="33">
        <v>1558013.7289288777</v>
      </c>
      <c r="Q943" s="33">
        <v>0</v>
      </c>
      <c r="T943" s="33">
        <v>24649428.620000001</v>
      </c>
      <c r="U943" s="32">
        <v>506</v>
      </c>
      <c r="W943" s="32">
        <v>24650925.359999999</v>
      </c>
      <c r="X943" s="32">
        <v>0</v>
      </c>
      <c r="Y943" s="32">
        <v>1496.7400000000002</v>
      </c>
      <c r="Z943" s="32">
        <v>467.02085569357303</v>
      </c>
      <c r="AA943" s="32">
        <v>1029.7191443064271</v>
      </c>
    </row>
    <row r="944" spans="1:31" x14ac:dyDescent="0.2">
      <c r="A944" s="32">
        <v>7</v>
      </c>
      <c r="B944" s="32" t="s">
        <v>779</v>
      </c>
      <c r="C944" s="32" t="s">
        <v>1770</v>
      </c>
      <c r="D944" s="33">
        <v>138987.44</v>
      </c>
      <c r="F944" s="33">
        <v>118989.87597427568</v>
      </c>
      <c r="H944" s="33">
        <v>7235.6376779339353</v>
      </c>
      <c r="I944" s="33">
        <v>12761.926347790399</v>
      </c>
      <c r="L944" s="33">
        <v>1.0520810295355258</v>
      </c>
      <c r="N944" s="33">
        <v>12760.874266760864</v>
      </c>
      <c r="O944" s="33">
        <v>3981.7165435952497</v>
      </c>
      <c r="P944" s="33">
        <v>8779.1577231656138</v>
      </c>
      <c r="Q944" s="33">
        <v>0</v>
      </c>
      <c r="T944" s="33">
        <v>138987.44</v>
      </c>
      <c r="U944" s="32">
        <v>509</v>
      </c>
      <c r="V944" s="32">
        <v>507</v>
      </c>
      <c r="W944" s="32">
        <v>138987.44</v>
      </c>
      <c r="X944" s="32">
        <v>0</v>
      </c>
      <c r="Y944" s="32">
        <v>0</v>
      </c>
      <c r="Z944" s="32">
        <v>0</v>
      </c>
      <c r="AA944" s="32">
        <v>0</v>
      </c>
    </row>
    <row r="945" spans="1:31" x14ac:dyDescent="0.2">
      <c r="A945" s="32">
        <v>8</v>
      </c>
      <c r="B945" s="32" t="s">
        <v>780</v>
      </c>
      <c r="D945" s="33">
        <v>540655840.93000007</v>
      </c>
      <c r="F945" s="33">
        <v>468417907.6118204</v>
      </c>
      <c r="H945" s="33">
        <v>25144554.179024845</v>
      </c>
      <c r="I945" s="33">
        <v>47093379.139154747</v>
      </c>
      <c r="L945" s="33">
        <v>2733.9716223354426</v>
      </c>
      <c r="N945" s="33">
        <v>47090645.167532414</v>
      </c>
      <c r="O945" s="33">
        <v>15299022.251986098</v>
      </c>
      <c r="P945" s="33">
        <v>31791622.91554632</v>
      </c>
      <c r="Q945" s="33">
        <v>0</v>
      </c>
    </row>
    <row r="946" spans="1:31" x14ac:dyDescent="0.2">
      <c r="A946" s="32">
        <v>9</v>
      </c>
      <c r="B946" s="32" t="s">
        <v>781</v>
      </c>
      <c r="C946" s="32" t="s">
        <v>1770</v>
      </c>
      <c r="D946" s="33">
        <v>7698348.790000001</v>
      </c>
      <c r="F946" s="33">
        <v>6590707.5324850595</v>
      </c>
      <c r="H946" s="33">
        <v>400773.35450455896</v>
      </c>
      <c r="I946" s="33">
        <v>706867.90301038232</v>
      </c>
      <c r="L946" s="33">
        <v>58.273515367336564</v>
      </c>
      <c r="N946" s="33">
        <v>706809.62949501502</v>
      </c>
      <c r="O946" s="33">
        <v>220542.53776822909</v>
      </c>
      <c r="P946" s="33">
        <v>486267.09172678593</v>
      </c>
      <c r="Q946" s="33">
        <v>0</v>
      </c>
      <c r="T946" s="33">
        <v>7698348.79</v>
      </c>
      <c r="U946" s="32">
        <v>510</v>
      </c>
      <c r="W946" s="32">
        <v>7698348.79</v>
      </c>
      <c r="X946" s="32">
        <v>0</v>
      </c>
      <c r="Y946" s="32">
        <v>0</v>
      </c>
      <c r="Z946" s="32">
        <v>0</v>
      </c>
      <c r="AA946" s="32">
        <v>0</v>
      </c>
    </row>
    <row r="947" spans="1:31" x14ac:dyDescent="0.2">
      <c r="A947" s="32">
        <v>10</v>
      </c>
      <c r="B947" s="32" t="s">
        <v>782</v>
      </c>
      <c r="C947" s="32" t="s">
        <v>1770</v>
      </c>
      <c r="D947" s="33">
        <v>5922842.7300000023</v>
      </c>
      <c r="F947" s="33">
        <v>5063204.9561473373</v>
      </c>
      <c r="H947" s="33">
        <v>307887.67743334494</v>
      </c>
      <c r="I947" s="33">
        <v>551750.09641931998</v>
      </c>
      <c r="L947" s="33">
        <v>44.767690018976786</v>
      </c>
      <c r="N947" s="33">
        <v>551705.32872930099</v>
      </c>
      <c r="O947" s="33">
        <v>172146.0605809039</v>
      </c>
      <c r="P947" s="33">
        <v>379559.2681483971</v>
      </c>
      <c r="Q947" s="33">
        <v>0</v>
      </c>
      <c r="T947" s="33">
        <v>5914132.5200000014</v>
      </c>
      <c r="U947" s="32">
        <v>511</v>
      </c>
      <c r="W947" s="32">
        <v>5922842.7300000014</v>
      </c>
      <c r="X947" s="32">
        <v>0</v>
      </c>
      <c r="Y947" s="32">
        <v>8710.2099999999991</v>
      </c>
      <c r="Z947" s="32">
        <v>2717.806517812523</v>
      </c>
      <c r="AA947" s="32">
        <v>5992.4034821874757</v>
      </c>
    </row>
    <row r="948" spans="1:31" x14ac:dyDescent="0.2">
      <c r="A948" s="32">
        <v>11</v>
      </c>
      <c r="B948" s="32" t="s">
        <v>783</v>
      </c>
      <c r="C948" s="32" t="s">
        <v>1795</v>
      </c>
      <c r="D948" s="33">
        <v>40474320.019999996</v>
      </c>
      <c r="F948" s="33">
        <v>34867058.443101168</v>
      </c>
      <c r="H948" s="33">
        <v>1843574.066425557</v>
      </c>
      <c r="I948" s="33">
        <v>3763687.5104732723</v>
      </c>
      <c r="L948" s="33">
        <v>191.6683444248504</v>
      </c>
      <c r="N948" s="33">
        <v>3763495.8421288473</v>
      </c>
      <c r="O948" s="33">
        <v>1228580.2777211578</v>
      </c>
      <c r="P948" s="33">
        <v>2534915.5644076895</v>
      </c>
      <c r="Q948" s="33">
        <v>0</v>
      </c>
      <c r="T948" s="33">
        <v>40189476.229999997</v>
      </c>
      <c r="U948" s="32">
        <v>512</v>
      </c>
      <c r="W948" s="32">
        <v>40474320.019999996</v>
      </c>
      <c r="X948" s="32">
        <v>0</v>
      </c>
      <c r="Y948" s="32">
        <v>284843.78999999998</v>
      </c>
      <c r="Z948" s="32">
        <v>92986.275873602019</v>
      </c>
      <c r="AA948" s="32">
        <v>191857.51412639799</v>
      </c>
      <c r="AB948" s="32">
        <v>2.8256004018282668E-2</v>
      </c>
      <c r="AC948" s="32">
        <v>5.8300288286222628E-2</v>
      </c>
      <c r="AD948" s="32">
        <v>8.6556292304505289E-2</v>
      </c>
      <c r="AE948" s="32" t="s">
        <v>1795</v>
      </c>
    </row>
    <row r="949" spans="1:31" x14ac:dyDescent="0.2">
      <c r="A949" s="32">
        <v>12</v>
      </c>
      <c r="B949" s="32" t="s">
        <v>784</v>
      </c>
      <c r="C949" s="32" t="s">
        <v>1795</v>
      </c>
      <c r="D949" s="33">
        <v>12821462.059999999</v>
      </c>
      <c r="F949" s="33">
        <v>11091400.681673247</v>
      </c>
      <c r="H949" s="33">
        <v>586450.92445741931</v>
      </c>
      <c r="I949" s="33">
        <v>1143610.4538693323</v>
      </c>
      <c r="L949" s="33">
        <v>60.970741465848988</v>
      </c>
      <c r="N949" s="33">
        <v>1143549.4831278664</v>
      </c>
      <c r="O949" s="33">
        <v>373307.79692702019</v>
      </c>
      <c r="P949" s="33">
        <v>770241.68620084634</v>
      </c>
      <c r="Q949" s="33">
        <v>0</v>
      </c>
      <c r="T949" s="33">
        <v>12784490.689999999</v>
      </c>
      <c r="U949" s="32">
        <v>513</v>
      </c>
      <c r="W949" s="32">
        <v>12821462.059999999</v>
      </c>
      <c r="X949" s="32">
        <v>0</v>
      </c>
      <c r="Y949" s="32">
        <v>36971.369999999995</v>
      </c>
      <c r="Z949" s="32">
        <v>12069.176618682868</v>
      </c>
      <c r="AA949" s="32">
        <v>24902.193381317127</v>
      </c>
    </row>
    <row r="950" spans="1:31" x14ac:dyDescent="0.2">
      <c r="A950" s="32">
        <v>13</v>
      </c>
      <c r="B950" s="32" t="s">
        <v>785</v>
      </c>
      <c r="C950" s="32" t="s">
        <v>1770</v>
      </c>
      <c r="D950" s="33">
        <v>2252600.2700000005</v>
      </c>
      <c r="F950" s="33">
        <v>1928065.1053386126</v>
      </c>
      <c r="H950" s="33">
        <v>117243.42434572951</v>
      </c>
      <c r="I950" s="33">
        <v>207291.7403156583</v>
      </c>
      <c r="L950" s="33">
        <v>17.047506810366833</v>
      </c>
      <c r="N950" s="33">
        <v>207274.69280884793</v>
      </c>
      <c r="O950" s="33">
        <v>64674.963186131623</v>
      </c>
      <c r="P950" s="33">
        <v>142599.72962271632</v>
      </c>
      <c r="Q950" s="33">
        <v>0</v>
      </c>
      <c r="T950" s="33">
        <v>2252097.7600000002</v>
      </c>
      <c r="U950" s="32">
        <v>514</v>
      </c>
      <c r="W950" s="32">
        <v>2252600.27</v>
      </c>
      <c r="X950" s="32">
        <v>0</v>
      </c>
      <c r="Y950" s="32">
        <v>502.50999999999993</v>
      </c>
      <c r="Z950" s="32">
        <v>156.79586982012728</v>
      </c>
      <c r="AA950" s="32">
        <v>345.7141301798726</v>
      </c>
    </row>
    <row r="951" spans="1:31" x14ac:dyDescent="0.2">
      <c r="A951" s="32">
        <v>14</v>
      </c>
      <c r="B951" s="32" t="s">
        <v>786</v>
      </c>
      <c r="D951" s="33">
        <v>69169573.86999999</v>
      </c>
      <c r="F951" s="33">
        <v>59540436.718745418</v>
      </c>
      <c r="H951" s="33">
        <v>3255929.4471666096</v>
      </c>
      <c r="I951" s="33">
        <v>6373207.7040879652</v>
      </c>
      <c r="L951" s="33">
        <v>372.7277980873796</v>
      </c>
      <c r="N951" s="33">
        <v>6372834.9762898777</v>
      </c>
      <c r="O951" s="33">
        <v>2059251.6361834425</v>
      </c>
      <c r="P951" s="33">
        <v>4313583.3401064351</v>
      </c>
      <c r="Q951" s="33">
        <v>0</v>
      </c>
    </row>
    <row r="952" spans="1:31" x14ac:dyDescent="0.2">
      <c r="F952" s="33"/>
    </row>
    <row r="953" spans="1:31" x14ac:dyDescent="0.2">
      <c r="A953" s="32">
        <v>15</v>
      </c>
      <c r="B953" s="32" t="s">
        <v>787</v>
      </c>
      <c r="D953" s="33">
        <v>609825414.80000007</v>
      </c>
      <c r="F953" s="33">
        <v>527958344.33056581</v>
      </c>
      <c r="H953" s="33">
        <v>28400483.626191456</v>
      </c>
      <c r="I953" s="33">
        <v>53466586.84324272</v>
      </c>
      <c r="L953" s="33">
        <v>3106.6994204228222</v>
      </c>
      <c r="N953" s="33">
        <v>53463480.143822297</v>
      </c>
      <c r="O953" s="33">
        <v>17358273.888169542</v>
      </c>
      <c r="P953" s="33">
        <v>36105206.255652755</v>
      </c>
      <c r="Q953" s="33">
        <v>0</v>
      </c>
    </row>
    <row r="954" spans="1:31" x14ac:dyDescent="0.2">
      <c r="F954" s="33"/>
    </row>
    <row r="955" spans="1:31" x14ac:dyDescent="0.2">
      <c r="B955" s="32" t="s">
        <v>788</v>
      </c>
      <c r="F955" s="33"/>
    </row>
    <row r="956" spans="1:31" x14ac:dyDescent="0.2">
      <c r="A956" s="32">
        <v>16</v>
      </c>
      <c r="B956" s="32" t="s">
        <v>789</v>
      </c>
      <c r="C956" s="32" t="s">
        <v>1772</v>
      </c>
      <c r="D956" s="33">
        <v>7943.9700000000012</v>
      </c>
      <c r="F956" s="33">
        <v>6861.0856980262906</v>
      </c>
      <c r="H956" s="33">
        <v>403.0167986841733</v>
      </c>
      <c r="I956" s="33">
        <v>679.86750328953735</v>
      </c>
      <c r="L956" s="33">
        <v>6.0664136724300113E-2</v>
      </c>
      <c r="N956" s="33">
        <v>679.80683915281304</v>
      </c>
      <c r="O956" s="33">
        <v>212.11698205933553</v>
      </c>
      <c r="P956" s="33">
        <v>467.68985709347749</v>
      </c>
      <c r="Q956" s="33">
        <v>0</v>
      </c>
      <c r="T956" s="33">
        <v>7943.9700000000012</v>
      </c>
      <c r="U956" s="32">
        <v>535</v>
      </c>
      <c r="W956" s="32">
        <v>7943.9700000000012</v>
      </c>
      <c r="X956" s="32">
        <v>0</v>
      </c>
    </row>
    <row r="957" spans="1:31" x14ac:dyDescent="0.2">
      <c r="A957" s="32">
        <v>17</v>
      </c>
      <c r="B957" s="32" t="s">
        <v>790</v>
      </c>
      <c r="C957" s="32" t="s">
        <v>1772</v>
      </c>
      <c r="D957" s="33">
        <v>0</v>
      </c>
      <c r="F957" s="33">
        <v>0</v>
      </c>
      <c r="H957" s="33">
        <v>0</v>
      </c>
      <c r="I957" s="33">
        <v>0</v>
      </c>
      <c r="L957" s="33">
        <v>0</v>
      </c>
      <c r="N957" s="33">
        <v>0</v>
      </c>
      <c r="O957" s="33">
        <v>0</v>
      </c>
      <c r="P957" s="33">
        <v>0</v>
      </c>
      <c r="Q957" s="33">
        <v>0</v>
      </c>
      <c r="T957" s="33">
        <v>0</v>
      </c>
      <c r="U957" s="32">
        <v>536</v>
      </c>
      <c r="W957" s="32">
        <v>0</v>
      </c>
      <c r="X957" s="32">
        <v>0</v>
      </c>
    </row>
    <row r="958" spans="1:31" x14ac:dyDescent="0.2">
      <c r="A958" s="32">
        <v>18</v>
      </c>
      <c r="B958" s="32" t="s">
        <v>791</v>
      </c>
      <c r="C958" s="32" t="s">
        <v>1772</v>
      </c>
      <c r="D958" s="33">
        <v>0</v>
      </c>
      <c r="F958" s="33">
        <v>0</v>
      </c>
      <c r="H958" s="33">
        <v>0</v>
      </c>
      <c r="I958" s="33">
        <v>0</v>
      </c>
      <c r="L958" s="33">
        <v>0</v>
      </c>
      <c r="N958" s="33">
        <v>0</v>
      </c>
      <c r="O958" s="33">
        <v>0</v>
      </c>
      <c r="P958" s="33">
        <v>0</v>
      </c>
      <c r="Q958" s="33">
        <v>0</v>
      </c>
      <c r="T958" s="33">
        <v>0</v>
      </c>
      <c r="U958" s="32">
        <v>537</v>
      </c>
      <c r="W958" s="32">
        <v>0</v>
      </c>
      <c r="X958" s="32">
        <v>0</v>
      </c>
    </row>
    <row r="959" spans="1:31" x14ac:dyDescent="0.2">
      <c r="A959" s="32">
        <v>19</v>
      </c>
      <c r="B959" s="32" t="s">
        <v>792</v>
      </c>
      <c r="C959" s="32" t="s">
        <v>1772</v>
      </c>
      <c r="D959" s="33">
        <v>0</v>
      </c>
      <c r="F959" s="33">
        <v>0</v>
      </c>
      <c r="H959" s="33">
        <v>0</v>
      </c>
      <c r="I959" s="33">
        <v>0</v>
      </c>
      <c r="L959" s="33">
        <v>0</v>
      </c>
      <c r="N959" s="33">
        <v>0</v>
      </c>
      <c r="O959" s="33">
        <v>0</v>
      </c>
      <c r="P959" s="33">
        <v>0</v>
      </c>
      <c r="Q959" s="33">
        <v>0</v>
      </c>
      <c r="T959" s="33">
        <v>0</v>
      </c>
      <c r="U959" s="32">
        <v>538</v>
      </c>
      <c r="W959" s="32">
        <v>0</v>
      </c>
      <c r="X959" s="32">
        <v>0</v>
      </c>
    </row>
    <row r="960" spans="1:31" x14ac:dyDescent="0.2">
      <c r="A960" s="32">
        <v>20</v>
      </c>
      <c r="B960" s="32" t="s">
        <v>793</v>
      </c>
      <c r="C960" s="32" t="s">
        <v>1772</v>
      </c>
      <c r="D960" s="33">
        <v>44637.38</v>
      </c>
      <c r="F960" s="33">
        <v>38552.624130675809</v>
      </c>
      <c r="H960" s="33">
        <v>2264.562175996251</v>
      </c>
      <c r="I960" s="33">
        <v>3820.1936933279358</v>
      </c>
      <c r="L960" s="33">
        <v>0.34087340754491002</v>
      </c>
      <c r="N960" s="33">
        <v>3819.8528199203906</v>
      </c>
      <c r="O960" s="33">
        <v>1191.8909981578154</v>
      </c>
      <c r="P960" s="33">
        <v>2627.9618217625753</v>
      </c>
      <c r="Q960" s="33">
        <v>0</v>
      </c>
      <c r="T960" s="33">
        <v>44637.38</v>
      </c>
      <c r="U960" s="32">
        <v>539</v>
      </c>
      <c r="W960" s="32">
        <v>44637.38</v>
      </c>
      <c r="X960" s="32">
        <v>0</v>
      </c>
    </row>
    <row r="961" spans="1:24" x14ac:dyDescent="0.2">
      <c r="A961" s="32">
        <v>21</v>
      </c>
      <c r="B961" s="32" t="s">
        <v>794</v>
      </c>
      <c r="C961" s="32" t="s">
        <v>1772</v>
      </c>
      <c r="D961" s="33">
        <v>0</v>
      </c>
      <c r="F961" s="33">
        <v>0</v>
      </c>
      <c r="H961" s="33">
        <v>0</v>
      </c>
      <c r="I961" s="33">
        <v>0</v>
      </c>
      <c r="L961" s="33">
        <v>0</v>
      </c>
      <c r="N961" s="33">
        <v>0</v>
      </c>
      <c r="O961" s="33">
        <v>0</v>
      </c>
      <c r="P961" s="33">
        <v>0</v>
      </c>
      <c r="Q961" s="33">
        <v>0</v>
      </c>
      <c r="T961" s="33">
        <v>0</v>
      </c>
      <c r="U961" s="32">
        <v>540</v>
      </c>
      <c r="W961" s="32">
        <v>0</v>
      </c>
      <c r="X961" s="32">
        <v>0</v>
      </c>
    </row>
    <row r="962" spans="1:24" x14ac:dyDescent="0.2">
      <c r="A962" s="32">
        <v>22</v>
      </c>
      <c r="B962" s="32" t="s">
        <v>795</v>
      </c>
      <c r="D962" s="33">
        <v>52581.35</v>
      </c>
      <c r="F962" s="33">
        <v>45413.7098287021</v>
      </c>
      <c r="H962" s="33">
        <v>2667.5789746804244</v>
      </c>
      <c r="I962" s="33">
        <v>4500.0611966174738</v>
      </c>
      <c r="L962" s="33">
        <v>0.40153754426921012</v>
      </c>
      <c r="N962" s="33">
        <v>4499.6596590732042</v>
      </c>
      <c r="O962" s="33">
        <v>1404.0079802171508</v>
      </c>
      <c r="P962" s="33">
        <v>3095.651678856053</v>
      </c>
      <c r="Q962" s="33">
        <v>0</v>
      </c>
    </row>
    <row r="963" spans="1:24" x14ac:dyDescent="0.2">
      <c r="A963" s="32">
        <v>23</v>
      </c>
      <c r="B963" s="32" t="s">
        <v>796</v>
      </c>
      <c r="C963" s="32" t="s">
        <v>1772</v>
      </c>
      <c r="D963" s="33">
        <v>118803.79000000002</v>
      </c>
      <c r="F963" s="33">
        <v>102609.02098576893</v>
      </c>
      <c r="H963" s="33">
        <v>6027.2034155902902</v>
      </c>
      <c r="I963" s="33">
        <v>10167.565598640793</v>
      </c>
      <c r="L963" s="33">
        <v>0.90724528918475744</v>
      </c>
      <c r="N963" s="33">
        <v>10166.658353351608</v>
      </c>
      <c r="O963" s="33">
        <v>3172.255357461202</v>
      </c>
      <c r="P963" s="33">
        <v>6994.4029958904057</v>
      </c>
      <c r="Q963" s="33">
        <v>0</v>
      </c>
      <c r="T963" s="33">
        <v>118803.79000000001</v>
      </c>
      <c r="U963" s="32">
        <v>541</v>
      </c>
      <c r="W963" s="32">
        <v>118803.79000000001</v>
      </c>
      <c r="X963" s="32">
        <v>0</v>
      </c>
    </row>
    <row r="964" spans="1:24" x14ac:dyDescent="0.2">
      <c r="A964" s="32">
        <v>23</v>
      </c>
      <c r="B964" s="32" t="s">
        <v>143</v>
      </c>
      <c r="C964" s="32" t="s">
        <v>1772</v>
      </c>
      <c r="D964" s="33">
        <v>169133.15999999997</v>
      </c>
      <c r="F964" s="33">
        <v>146077.73004404496</v>
      </c>
      <c r="H964" s="33">
        <v>8580.5340018325915</v>
      </c>
      <c r="I964" s="33">
        <v>14474.89595412241</v>
      </c>
      <c r="L964" s="33">
        <v>1.2915855854003633</v>
      </c>
      <c r="N964" s="33">
        <v>14473.60436853701</v>
      </c>
      <c r="O964" s="33">
        <v>4516.1317912024733</v>
      </c>
      <c r="P964" s="33">
        <v>9957.4725773345363</v>
      </c>
      <c r="Q964" s="33">
        <v>0</v>
      </c>
      <c r="T964" s="33">
        <v>169133.15999999997</v>
      </c>
      <c r="U964" s="32">
        <v>542</v>
      </c>
      <c r="W964" s="32">
        <v>169133.15999999997</v>
      </c>
      <c r="X964" s="32">
        <v>0</v>
      </c>
    </row>
    <row r="965" spans="1:24" x14ac:dyDescent="0.2">
      <c r="A965" s="32">
        <v>25</v>
      </c>
      <c r="B965" s="32" t="s">
        <v>144</v>
      </c>
      <c r="C965" s="32" t="s">
        <v>1772</v>
      </c>
      <c r="D965" s="33">
        <v>42400</v>
      </c>
      <c r="F965" s="33">
        <v>36620.23315751629</v>
      </c>
      <c r="H965" s="33">
        <v>2151.0544808463455</v>
      </c>
      <c r="I965" s="33">
        <v>3628.7123616373651</v>
      </c>
      <c r="L965" s="33">
        <v>0.32378765240935253</v>
      </c>
      <c r="N965" s="33">
        <v>3628.3885739849557</v>
      </c>
      <c r="O965" s="33">
        <v>1132.1492955431384</v>
      </c>
      <c r="P965" s="33">
        <v>2496.2392784418171</v>
      </c>
      <c r="Q965" s="33">
        <v>0</v>
      </c>
      <c r="T965" s="33">
        <v>42400</v>
      </c>
      <c r="U965" s="32">
        <v>543</v>
      </c>
      <c r="W965" s="32">
        <v>42400</v>
      </c>
      <c r="X965" s="32">
        <v>0</v>
      </c>
    </row>
    <row r="966" spans="1:24" x14ac:dyDescent="0.2">
      <c r="A966" s="32">
        <v>26</v>
      </c>
      <c r="B966" s="32" t="s">
        <v>145</v>
      </c>
      <c r="C966" s="32" t="s">
        <v>1795</v>
      </c>
      <c r="D966" s="33">
        <v>92183.13</v>
      </c>
      <c r="F966" s="33">
        <v>79975.030348336368</v>
      </c>
      <c r="H966" s="33">
        <v>4228.6300736379562</v>
      </c>
      <c r="I966" s="33">
        <v>7979.4695780256834</v>
      </c>
      <c r="L966" s="33">
        <v>0.43963220147198123</v>
      </c>
      <c r="N966" s="33">
        <v>7979.0299458242116</v>
      </c>
      <c r="O966" s="33">
        <v>2604.7268916978737</v>
      </c>
      <c r="P966" s="33">
        <v>5374.3030541263379</v>
      </c>
      <c r="Q966" s="33">
        <v>0</v>
      </c>
      <c r="T966" s="33">
        <v>92183.13</v>
      </c>
      <c r="U966" s="32">
        <v>544</v>
      </c>
      <c r="W966" s="32">
        <v>92183.13</v>
      </c>
      <c r="X966" s="32">
        <v>0</v>
      </c>
    </row>
    <row r="967" spans="1:24" x14ac:dyDescent="0.2">
      <c r="A967" s="32">
        <v>27</v>
      </c>
      <c r="B967" s="32" t="s">
        <v>146</v>
      </c>
      <c r="C967" s="32" t="s">
        <v>1772</v>
      </c>
      <c r="D967" s="33">
        <v>7916.0400000000009</v>
      </c>
      <c r="F967" s="33">
        <v>6836.9629831185212</v>
      </c>
      <c r="H967" s="33">
        <v>401.59984227733275</v>
      </c>
      <c r="I967" s="33">
        <v>677.47717460414742</v>
      </c>
      <c r="L967" s="33">
        <v>6.0450849244776686E-2</v>
      </c>
      <c r="N967" s="33">
        <v>677.41672375490259</v>
      </c>
      <c r="O967" s="33">
        <v>211.3712054125308</v>
      </c>
      <c r="P967" s="33">
        <v>466.04551834237179</v>
      </c>
      <c r="Q967" s="33">
        <v>0</v>
      </c>
      <c r="T967" s="33">
        <v>7916.0400000000009</v>
      </c>
      <c r="U967" s="32">
        <v>545</v>
      </c>
      <c r="W967" s="32">
        <v>7916.0400000000009</v>
      </c>
      <c r="X967" s="32">
        <v>0</v>
      </c>
    </row>
    <row r="968" spans="1:24" x14ac:dyDescent="0.2">
      <c r="A968" s="32">
        <v>28</v>
      </c>
      <c r="B968" s="32" t="s">
        <v>1369</v>
      </c>
      <c r="D968" s="33">
        <v>430436.12</v>
      </c>
      <c r="F968" s="33">
        <v>372118.9775187851</v>
      </c>
      <c r="H968" s="33">
        <v>21389.021814184518</v>
      </c>
      <c r="I968" s="33">
        <v>36928.120667030402</v>
      </c>
      <c r="L968" s="33">
        <v>3.0227015777112314</v>
      </c>
      <c r="N968" s="33">
        <v>36925.097965452689</v>
      </c>
      <c r="O968" s="33">
        <v>11636.634541317217</v>
      </c>
      <c r="P968" s="33">
        <v>25288.463424135469</v>
      </c>
      <c r="Q968" s="33">
        <v>0</v>
      </c>
    </row>
    <row r="969" spans="1:24" x14ac:dyDescent="0.2">
      <c r="F969" s="33"/>
    </row>
    <row r="970" spans="1:24" x14ac:dyDescent="0.2">
      <c r="A970" s="32">
        <v>29</v>
      </c>
      <c r="B970" s="32" t="s">
        <v>1370</v>
      </c>
      <c r="D970" s="33">
        <v>483017.47000000003</v>
      </c>
      <c r="F970" s="33">
        <v>417532.6873474872</v>
      </c>
      <c r="H970" s="33">
        <v>24056.600788864944</v>
      </c>
      <c r="I970" s="33">
        <v>41428.181863647871</v>
      </c>
      <c r="L970" s="33">
        <v>3.4242391219804413</v>
      </c>
      <c r="N970" s="33">
        <v>41424.75762452589</v>
      </c>
      <c r="O970" s="33">
        <v>13040.642521534368</v>
      </c>
      <c r="P970" s="33">
        <v>28384.11510299152</v>
      </c>
      <c r="Q970" s="33">
        <v>0</v>
      </c>
    </row>
    <row r="971" spans="1:24" x14ac:dyDescent="0.2">
      <c r="F971" s="33"/>
    </row>
    <row r="972" spans="1:24" x14ac:dyDescent="0.2">
      <c r="B972" s="32" t="s">
        <v>1371</v>
      </c>
      <c r="F972" s="33"/>
    </row>
    <row r="973" spans="1:24" x14ac:dyDescent="0.2">
      <c r="A973" s="32">
        <v>30</v>
      </c>
      <c r="B973" s="32" t="s">
        <v>1372</v>
      </c>
      <c r="C973" s="32" t="s">
        <v>1774</v>
      </c>
      <c r="D973" s="33">
        <v>211587.65999999997</v>
      </c>
      <c r="F973" s="33">
        <v>182408.88949356359</v>
      </c>
      <c r="H973" s="33">
        <v>10712.633145830614</v>
      </c>
      <c r="I973" s="33">
        <v>18466.137360605775</v>
      </c>
      <c r="L973" s="33">
        <v>1.6128173147798641</v>
      </c>
      <c r="N973" s="33">
        <v>18464.524543290994</v>
      </c>
      <c r="O973" s="33">
        <v>5761.4001444357345</v>
      </c>
      <c r="P973" s="33">
        <v>12703.124398855261</v>
      </c>
      <c r="Q973" s="33">
        <v>0</v>
      </c>
      <c r="T973" s="33">
        <v>211587.66</v>
      </c>
      <c r="U973" s="32">
        <v>546</v>
      </c>
      <c r="W973" s="32">
        <v>211587.66</v>
      </c>
      <c r="X973" s="32">
        <v>0</v>
      </c>
    </row>
    <row r="974" spans="1:24" x14ac:dyDescent="0.2">
      <c r="A974" s="32">
        <v>31</v>
      </c>
      <c r="B974" s="32" t="s">
        <v>1373</v>
      </c>
      <c r="C974" s="32" t="s">
        <v>1795</v>
      </c>
      <c r="D974" s="33">
        <v>31699199.32</v>
      </c>
      <c r="F974" s="33">
        <v>27501175.406334795</v>
      </c>
      <c r="H974" s="33">
        <v>1454107.5742903918</v>
      </c>
      <c r="I974" s="33">
        <v>2743916.3393748123</v>
      </c>
      <c r="L974" s="33">
        <v>151.17721411662558</v>
      </c>
      <c r="N974" s="33">
        <v>2743765.1621606955</v>
      </c>
      <c r="O974" s="33">
        <v>895692.70336226327</v>
      </c>
      <c r="P974" s="33">
        <v>1848072.4587984323</v>
      </c>
      <c r="Q974" s="33">
        <v>0</v>
      </c>
      <c r="T974" s="33">
        <v>31699199.32</v>
      </c>
      <c r="U974" s="32">
        <v>547</v>
      </c>
      <c r="W974" s="32">
        <v>31699199.32</v>
      </c>
      <c r="X974" s="32">
        <v>0</v>
      </c>
    </row>
    <row r="975" spans="1:24" x14ac:dyDescent="0.2">
      <c r="A975" s="32">
        <v>32</v>
      </c>
      <c r="B975" s="32" t="s">
        <v>1374</v>
      </c>
      <c r="C975" s="32" t="s">
        <v>1774</v>
      </c>
      <c r="D975" s="33">
        <v>309789.77</v>
      </c>
      <c r="F975" s="33">
        <v>267068.54228723212</v>
      </c>
      <c r="H975" s="33">
        <v>15684.582732004515</v>
      </c>
      <c r="I975" s="33">
        <v>27036.644980763387</v>
      </c>
      <c r="L975" s="33">
        <v>2.3613584317614351</v>
      </c>
      <c r="N975" s="33">
        <v>27034.283622331626</v>
      </c>
      <c r="O975" s="33">
        <v>8435.3824113500432</v>
      </c>
      <c r="P975" s="33">
        <v>18598.901210981585</v>
      </c>
      <c r="Q975" s="33">
        <v>0</v>
      </c>
      <c r="T975" s="33">
        <v>309789.77</v>
      </c>
      <c r="U975" s="32">
        <v>548</v>
      </c>
      <c r="W975" s="32">
        <v>309789.77</v>
      </c>
      <c r="X975" s="32">
        <v>0</v>
      </c>
    </row>
    <row r="976" spans="1:24" x14ac:dyDescent="0.2">
      <c r="A976" s="32">
        <v>33</v>
      </c>
      <c r="B976" s="32" t="s">
        <v>1375</v>
      </c>
      <c r="C976" s="32" t="s">
        <v>1774</v>
      </c>
      <c r="D976" s="33">
        <v>162568.04999999999</v>
      </c>
      <c r="F976" s="33">
        <v>140149.27651089919</v>
      </c>
      <c r="H976" s="33">
        <v>8230.781893816722</v>
      </c>
      <c r="I976" s="33">
        <v>14187.991595284091</v>
      </c>
      <c r="L976" s="33">
        <v>1.2391675670972433</v>
      </c>
      <c r="N976" s="33">
        <v>14186.752427716994</v>
      </c>
      <c r="O976" s="33">
        <v>4426.6267075813203</v>
      </c>
      <c r="P976" s="33">
        <v>9760.1257201356748</v>
      </c>
      <c r="Q976" s="33">
        <v>0</v>
      </c>
      <c r="T976" s="33">
        <v>162568.05000000002</v>
      </c>
      <c r="U976" s="32">
        <v>549</v>
      </c>
      <c r="V976" s="32">
        <v>550</v>
      </c>
      <c r="W976" s="32">
        <v>162568.05000000002</v>
      </c>
      <c r="X976" s="32">
        <v>0</v>
      </c>
    </row>
    <row r="977" spans="1:24" x14ac:dyDescent="0.2">
      <c r="A977" s="32">
        <v>34</v>
      </c>
      <c r="B977" s="32" t="s">
        <v>1376</v>
      </c>
      <c r="D977" s="33">
        <v>32383144.799999997</v>
      </c>
      <c r="F977" s="33">
        <v>28090802.114626486</v>
      </c>
      <c r="H977" s="33">
        <v>1488735.5720620437</v>
      </c>
      <c r="I977" s="33">
        <v>2803607.1133114654</v>
      </c>
      <c r="L977" s="33">
        <v>156.39055743026412</v>
      </c>
      <c r="N977" s="33">
        <v>2803450.7227540351</v>
      </c>
      <c r="O977" s="33">
        <v>914316.11262563034</v>
      </c>
      <c r="P977" s="33">
        <v>1889134.6101284048</v>
      </c>
      <c r="Q977" s="33">
        <v>0</v>
      </c>
    </row>
    <row r="978" spans="1:24" x14ac:dyDescent="0.2">
      <c r="A978" s="32">
        <v>35</v>
      </c>
      <c r="B978" s="32" t="s">
        <v>1377</v>
      </c>
      <c r="C978" s="32" t="s">
        <v>1774</v>
      </c>
      <c r="D978" s="33">
        <v>49628.45</v>
      </c>
      <c r="F978" s="33">
        <v>42784.491552044419</v>
      </c>
      <c r="H978" s="33">
        <v>2512.6766771096072</v>
      </c>
      <c r="I978" s="33">
        <v>4331.2817708459734</v>
      </c>
      <c r="L978" s="33">
        <v>0.37829060289095662</v>
      </c>
      <c r="N978" s="33">
        <v>4330.9034802430824</v>
      </c>
      <c r="O978" s="33">
        <v>1351.3517706945747</v>
      </c>
      <c r="P978" s="33">
        <v>2979.5517095485079</v>
      </c>
      <c r="Q978" s="33">
        <v>0</v>
      </c>
      <c r="T978" s="33">
        <v>49628.450000000004</v>
      </c>
      <c r="U978" s="32">
        <v>551</v>
      </c>
      <c r="W978" s="32">
        <v>49628.450000000004</v>
      </c>
      <c r="X978" s="32">
        <v>0</v>
      </c>
    </row>
    <row r="979" spans="1:24" x14ac:dyDescent="0.2">
      <c r="A979" s="32">
        <v>36</v>
      </c>
      <c r="B979" s="32" t="s">
        <v>1378</v>
      </c>
      <c r="C979" s="32" t="s">
        <v>1774</v>
      </c>
      <c r="D979" s="33">
        <v>265096.57</v>
      </c>
      <c r="F979" s="33">
        <v>228538.71034942562</v>
      </c>
      <c r="H979" s="33">
        <v>13421.776594287236</v>
      </c>
      <c r="I979" s="33">
        <v>23136.083056287142</v>
      </c>
      <c r="L979" s="33">
        <v>2.020686547527168</v>
      </c>
      <c r="N979" s="33">
        <v>23134.062369739615</v>
      </c>
      <c r="O979" s="33">
        <v>7218.4144230689908</v>
      </c>
      <c r="P979" s="33">
        <v>15915.647946670622</v>
      </c>
      <c r="Q979" s="33">
        <v>0</v>
      </c>
      <c r="T979" s="33">
        <v>265096.57</v>
      </c>
      <c r="U979" s="32">
        <v>552</v>
      </c>
      <c r="W979" s="32">
        <v>265096.57</v>
      </c>
      <c r="X979" s="32">
        <v>0</v>
      </c>
    </row>
    <row r="980" spans="1:24" x14ac:dyDescent="0.2">
      <c r="A980" s="32">
        <v>37</v>
      </c>
      <c r="B980" s="32" t="s">
        <v>1379</v>
      </c>
      <c r="C980" s="32" t="s">
        <v>1774</v>
      </c>
      <c r="D980" s="33">
        <v>1581844.66</v>
      </c>
      <c r="F980" s="33">
        <v>1363702.0598551149</v>
      </c>
      <c r="H980" s="33">
        <v>80088.420734324289</v>
      </c>
      <c r="I980" s="33">
        <v>138054.17941056081</v>
      </c>
      <c r="L980" s="33">
        <v>12.057538974343151</v>
      </c>
      <c r="N980" s="33">
        <v>138042.12187158648</v>
      </c>
      <c r="O980" s="33">
        <v>43072.644466122911</v>
      </c>
      <c r="P980" s="33">
        <v>94969.477405463564</v>
      </c>
      <c r="Q980" s="33">
        <v>0</v>
      </c>
      <c r="T980" s="33">
        <v>1581844.6600000001</v>
      </c>
      <c r="U980" s="32">
        <v>553</v>
      </c>
      <c r="W980" s="32">
        <v>1581844.6600000001</v>
      </c>
      <c r="X980" s="32">
        <v>0</v>
      </c>
    </row>
    <row r="981" spans="1:24" x14ac:dyDescent="0.2">
      <c r="A981" s="32">
        <v>38</v>
      </c>
      <c r="B981" s="32" t="s">
        <v>1380</v>
      </c>
      <c r="C981" s="32" t="s">
        <v>1774</v>
      </c>
      <c r="D981" s="33">
        <v>228247.14999999997</v>
      </c>
      <c r="F981" s="33">
        <v>196770.97029935883</v>
      </c>
      <c r="H981" s="33">
        <v>11556.099181452131</v>
      </c>
      <c r="I981" s="33">
        <v>19920.080519189021</v>
      </c>
      <c r="L981" s="33">
        <v>1.7398035195869024</v>
      </c>
      <c r="N981" s="33">
        <v>19918.340715669434</v>
      </c>
      <c r="O981" s="33">
        <v>6215.0276768363738</v>
      </c>
      <c r="P981" s="33">
        <v>13703.313038833061</v>
      </c>
      <c r="Q981" s="33">
        <v>0</v>
      </c>
      <c r="T981" s="33">
        <v>228247.15</v>
      </c>
      <c r="U981" s="32">
        <v>554</v>
      </c>
      <c r="W981" s="32">
        <v>228247.15</v>
      </c>
      <c r="X981" s="32">
        <v>0</v>
      </c>
    </row>
    <row r="982" spans="1:24" x14ac:dyDescent="0.2">
      <c r="A982" s="32">
        <v>39</v>
      </c>
      <c r="B982" s="32" t="s">
        <v>1381</v>
      </c>
      <c r="D982" s="33">
        <v>2124816.83</v>
      </c>
      <c r="F982" s="33">
        <v>1831796.2320559439</v>
      </c>
      <c r="H982" s="33">
        <v>107578.97318717325</v>
      </c>
      <c r="I982" s="33">
        <v>185441.62475688296</v>
      </c>
      <c r="L982" s="33">
        <v>16.196319644348179</v>
      </c>
      <c r="N982" s="33">
        <v>185425.42843723862</v>
      </c>
      <c r="O982" s="33">
        <v>57857.438336722851</v>
      </c>
      <c r="P982" s="33">
        <v>127567.99010051576</v>
      </c>
      <c r="Q982" s="33">
        <v>0</v>
      </c>
    </row>
    <row r="983" spans="1:24" x14ac:dyDescent="0.2">
      <c r="F983" s="33"/>
    </row>
    <row r="984" spans="1:24" x14ac:dyDescent="0.2">
      <c r="A984" s="32">
        <v>40</v>
      </c>
      <c r="B984" s="32" t="s">
        <v>1382</v>
      </c>
      <c r="D984" s="33">
        <v>34507961.629999995</v>
      </c>
      <c r="F984" s="33">
        <v>29922598.346682429</v>
      </c>
      <c r="H984" s="33">
        <v>1596314.545249217</v>
      </c>
      <c r="I984" s="33">
        <v>2989048.7380683483</v>
      </c>
      <c r="L984" s="33">
        <v>172.58687707461229</v>
      </c>
      <c r="N984" s="33">
        <v>2988876.1511912737</v>
      </c>
      <c r="O984" s="33">
        <v>972173.55096235324</v>
      </c>
      <c r="P984" s="33">
        <v>2016702.6002289206</v>
      </c>
      <c r="Q984" s="33">
        <v>0</v>
      </c>
    </row>
    <row r="985" spans="1:24" x14ac:dyDescent="0.2">
      <c r="F985" s="33"/>
    </row>
    <row r="986" spans="1:24" x14ac:dyDescent="0.2">
      <c r="B986" s="32" t="s">
        <v>1383</v>
      </c>
      <c r="F986" s="33"/>
      <c r="U986" s="32">
        <v>555</v>
      </c>
      <c r="W986" s="32">
        <v>103829269.81</v>
      </c>
      <c r="X986" s="32">
        <v>0</v>
      </c>
    </row>
    <row r="987" spans="1:24" x14ac:dyDescent="0.2">
      <c r="A987" s="32">
        <v>41</v>
      </c>
      <c r="B987" s="32" t="s">
        <v>1384</v>
      </c>
      <c r="C987" s="32" t="s">
        <v>1674</v>
      </c>
      <c r="D987" s="33">
        <v>8732448.0500000007</v>
      </c>
      <c r="F987" s="33">
        <v>7557847.9747521561</v>
      </c>
      <c r="H987" s="33">
        <v>443849.97631748108</v>
      </c>
      <c r="I987" s="33">
        <v>730750.09893036308</v>
      </c>
      <c r="L987" s="33">
        <v>66.824748015278701</v>
      </c>
      <c r="N987" s="33">
        <v>730683.27418234781</v>
      </c>
      <c r="O987" s="33">
        <v>227991.7206392705</v>
      </c>
      <c r="P987" s="33">
        <v>502691.55354307737</v>
      </c>
      <c r="Q987" s="33">
        <v>0</v>
      </c>
      <c r="T987" s="33">
        <v>8732448.0500000007</v>
      </c>
      <c r="U987" s="32" t="s">
        <v>2620</v>
      </c>
    </row>
    <row r="988" spans="1:24" x14ac:dyDescent="0.2">
      <c r="A988" s="32">
        <v>42</v>
      </c>
      <c r="B988" s="32" t="s">
        <v>1385</v>
      </c>
      <c r="C988" s="32" t="s">
        <v>1795</v>
      </c>
      <c r="D988" s="33">
        <v>95096821.75999999</v>
      </c>
      <c r="F988" s="33">
        <v>82502852.813593268</v>
      </c>
      <c r="H988" s="33">
        <v>4362287.1169781759</v>
      </c>
      <c r="I988" s="33">
        <v>8231681.829428561</v>
      </c>
      <c r="L988" s="33">
        <v>453.52794056067972</v>
      </c>
      <c r="N988" s="33">
        <v>8231228.301488</v>
      </c>
      <c r="O988" s="33">
        <v>2687056.1777764708</v>
      </c>
      <c r="P988" s="33">
        <v>5544172.1237115292</v>
      </c>
      <c r="Q988" s="33">
        <v>0</v>
      </c>
      <c r="T988" s="33">
        <v>95096821.760000005</v>
      </c>
    </row>
    <row r="989" spans="1:24" x14ac:dyDescent="0.2">
      <c r="A989" s="32">
        <v>43</v>
      </c>
      <c r="B989" s="32" t="s">
        <v>1386</v>
      </c>
      <c r="D989" s="33">
        <v>103829269.81000002</v>
      </c>
      <c r="F989" s="33">
        <v>90060700.788345426</v>
      </c>
      <c r="H989" s="33">
        <v>4806137.0932956571</v>
      </c>
      <c r="I989" s="33">
        <v>8962431.9283589236</v>
      </c>
      <c r="L989" s="33">
        <v>520.35268857595838</v>
      </c>
      <c r="N989" s="33">
        <v>8961911.5756703485</v>
      </c>
      <c r="O989" s="33">
        <v>2915047.8984157415</v>
      </c>
      <c r="P989" s="33">
        <v>6046863.677254607</v>
      </c>
      <c r="Q989" s="33">
        <v>0</v>
      </c>
    </row>
    <row r="990" spans="1:24" x14ac:dyDescent="0.2">
      <c r="F990" s="33"/>
    </row>
    <row r="991" spans="1:24" x14ac:dyDescent="0.2">
      <c r="A991" s="32">
        <v>44</v>
      </c>
      <c r="B991" s="32" t="s">
        <v>1387</v>
      </c>
      <c r="C991" s="32" t="s">
        <v>1674</v>
      </c>
      <c r="D991" s="33">
        <v>1841937.28</v>
      </c>
      <c r="F991" s="33">
        <v>1594178.6153847768</v>
      </c>
      <c r="H991" s="33">
        <v>93621.377811263985</v>
      </c>
      <c r="I991" s="33">
        <v>154137.28680395917</v>
      </c>
      <c r="L991" s="33">
        <v>14.095359501846431</v>
      </c>
      <c r="N991" s="33">
        <v>154123.19144445733</v>
      </c>
      <c r="O991" s="33">
        <v>48090.346186121053</v>
      </c>
      <c r="P991" s="33">
        <v>106032.84525833627</v>
      </c>
      <c r="Q991" s="33">
        <v>0</v>
      </c>
      <c r="T991" s="33">
        <v>1841937.28</v>
      </c>
      <c r="U991" s="32">
        <v>556</v>
      </c>
      <c r="W991" s="32">
        <v>1841937.28</v>
      </c>
      <c r="X991" s="32">
        <v>0</v>
      </c>
    </row>
    <row r="992" spans="1:24" x14ac:dyDescent="0.2">
      <c r="A992" s="32">
        <v>45</v>
      </c>
      <c r="B992" s="32" t="s">
        <v>1388</v>
      </c>
      <c r="C992" s="32" t="s">
        <v>1202</v>
      </c>
      <c r="D992" s="33">
        <v>403737.86</v>
      </c>
      <c r="F992" s="33">
        <v>345976.04965793673</v>
      </c>
      <c r="H992" s="33">
        <v>20941.280687373015</v>
      </c>
      <c r="I992" s="33">
        <v>36820.529654690268</v>
      </c>
      <c r="L992" s="33">
        <v>3.0590404060715897</v>
      </c>
      <c r="N992" s="33">
        <v>36817.470614284197</v>
      </c>
      <c r="O992" s="33">
        <v>11487.98497451527</v>
      </c>
      <c r="P992" s="33">
        <v>25329.485639768929</v>
      </c>
      <c r="Q992" s="33">
        <v>0</v>
      </c>
      <c r="T992" s="33">
        <v>403737.86000000004</v>
      </c>
      <c r="U992" s="32">
        <v>557</v>
      </c>
      <c r="W992" s="32">
        <v>403737.86000000004</v>
      </c>
      <c r="X992" s="32">
        <v>0</v>
      </c>
    </row>
    <row r="993" spans="1:27" x14ac:dyDescent="0.2">
      <c r="F993" s="33"/>
    </row>
    <row r="994" spans="1:27" x14ac:dyDescent="0.2">
      <c r="A994" s="32">
        <v>46</v>
      </c>
      <c r="B994" s="32" t="s">
        <v>1389</v>
      </c>
      <c r="D994" s="33">
        <v>750891338.8499999</v>
      </c>
      <c r="F994" s="33">
        <v>650299330.81798387</v>
      </c>
      <c r="H994" s="33">
        <v>34941554.524023823</v>
      </c>
      <c r="I994" s="33">
        <v>65650453.50799229</v>
      </c>
      <c r="L994" s="33">
        <v>3820.2176251032915</v>
      </c>
      <c r="N994" s="33">
        <v>65646633.290367186</v>
      </c>
      <c r="O994" s="33">
        <v>21318114.311229806</v>
      </c>
      <c r="P994" s="33">
        <v>44328518.979137376</v>
      </c>
      <c r="Q994" s="33">
        <v>0</v>
      </c>
    </row>
    <row r="995" spans="1:27" x14ac:dyDescent="0.2">
      <c r="F995" s="33"/>
    </row>
    <row r="996" spans="1:27" x14ac:dyDescent="0.2">
      <c r="B996" s="32" t="s">
        <v>1390</v>
      </c>
      <c r="F996" s="33"/>
    </row>
    <row r="997" spans="1:27" x14ac:dyDescent="0.2">
      <c r="F997" s="33"/>
    </row>
    <row r="998" spans="1:27" x14ac:dyDescent="0.2">
      <c r="B998" s="32" t="s">
        <v>1391</v>
      </c>
      <c r="F998" s="33"/>
    </row>
    <row r="999" spans="1:27" x14ac:dyDescent="0.2">
      <c r="A999" s="32">
        <v>1</v>
      </c>
      <c r="B999" s="32" t="s">
        <v>1392</v>
      </c>
      <c r="C999" s="32" t="s">
        <v>645</v>
      </c>
      <c r="D999" s="33">
        <v>1499599.1800000002</v>
      </c>
      <c r="F999" s="33">
        <v>1203372.5681595828</v>
      </c>
      <c r="H999" s="33">
        <v>172257.45693845404</v>
      </c>
      <c r="I999" s="33">
        <v>123969.15490196344</v>
      </c>
      <c r="L999" s="33">
        <v>10.639942600644854</v>
      </c>
      <c r="N999" s="33">
        <v>123958.5149593628</v>
      </c>
      <c r="O999" s="33">
        <v>38678.20177641153</v>
      </c>
      <c r="P999" s="33">
        <v>85280.313182951271</v>
      </c>
      <c r="Q999" s="33">
        <v>0</v>
      </c>
      <c r="T999" s="33">
        <v>1499599.1800000002</v>
      </c>
      <c r="U999" s="32">
        <v>560</v>
      </c>
      <c r="W999" s="32">
        <v>1499599.1800000002</v>
      </c>
      <c r="X999" s="32">
        <v>0</v>
      </c>
    </row>
    <row r="1000" spans="1:27" x14ac:dyDescent="0.2">
      <c r="A1000" s="32">
        <v>2</v>
      </c>
      <c r="B1000" s="32" t="s">
        <v>1393</v>
      </c>
      <c r="C1000" s="32" t="s">
        <v>1204</v>
      </c>
      <c r="D1000" s="33">
        <v>2847533.5999999996</v>
      </c>
      <c r="F1000" s="33">
        <v>2285039.8072054833</v>
      </c>
      <c r="H1000" s="33">
        <v>327093.3346888072</v>
      </c>
      <c r="I1000" s="33">
        <v>235400.45810570905</v>
      </c>
      <c r="L1000" s="33">
        <v>20.203794761615967</v>
      </c>
      <c r="N1000" s="33">
        <v>235380.25431094744</v>
      </c>
      <c r="O1000" s="33">
        <v>73444.611476722392</v>
      </c>
      <c r="P1000" s="33">
        <v>161935.64283422503</v>
      </c>
      <c r="Q1000" s="33">
        <v>0</v>
      </c>
      <c r="T1000" s="33">
        <v>2847533.5999999996</v>
      </c>
      <c r="U1000" s="32">
        <v>561</v>
      </c>
      <c r="W1000" s="32">
        <v>2847533.5999999996</v>
      </c>
      <c r="X1000" s="32">
        <v>0</v>
      </c>
    </row>
    <row r="1001" spans="1:27" x14ac:dyDescent="0.2">
      <c r="A1001" s="32">
        <v>3</v>
      </c>
      <c r="B1001" s="32" t="s">
        <v>1394</v>
      </c>
      <c r="C1001" s="32" t="s">
        <v>1204</v>
      </c>
      <c r="D1001" s="33">
        <v>771550.95000000007</v>
      </c>
      <c r="F1001" s="33">
        <v>619140.94149309001</v>
      </c>
      <c r="H1001" s="33">
        <v>88627.285422660934</v>
      </c>
      <c r="I1001" s="33">
        <v>63782.723084249141</v>
      </c>
      <c r="L1001" s="33">
        <v>5.4743013539611347</v>
      </c>
      <c r="N1001" s="33">
        <v>63777.248782895178</v>
      </c>
      <c r="O1001" s="33">
        <v>19900.119793931874</v>
      </c>
      <c r="P1001" s="33">
        <v>43877.128988963304</v>
      </c>
      <c r="Q1001" s="33">
        <v>0</v>
      </c>
      <c r="T1001" s="33">
        <v>771550.95000000007</v>
      </c>
      <c r="U1001" s="32">
        <v>562</v>
      </c>
      <c r="W1001" s="32">
        <v>771550.95000000007</v>
      </c>
      <c r="X1001" s="32">
        <v>0</v>
      </c>
    </row>
    <row r="1002" spans="1:27" x14ac:dyDescent="0.2">
      <c r="A1002" s="32">
        <v>4</v>
      </c>
      <c r="B1002" s="32" t="s">
        <v>1395</v>
      </c>
      <c r="C1002" s="32" t="s">
        <v>1204</v>
      </c>
      <c r="D1002" s="33">
        <v>487465.94000000006</v>
      </c>
      <c r="F1002" s="33">
        <v>391173.28678995743</v>
      </c>
      <c r="H1002" s="33">
        <v>55994.724649364638</v>
      </c>
      <c r="I1002" s="33">
        <v>40297.928560677945</v>
      </c>
      <c r="L1002" s="33">
        <v>3.4586639487022044</v>
      </c>
      <c r="N1002" s="33">
        <v>40294.469896729242</v>
      </c>
      <c r="O1002" s="33">
        <v>12572.896970007756</v>
      </c>
      <c r="P1002" s="33">
        <v>27721.572926721488</v>
      </c>
      <c r="Q1002" s="33">
        <v>0</v>
      </c>
      <c r="T1002" s="33">
        <v>487465.94</v>
      </c>
      <c r="U1002" s="32">
        <v>563</v>
      </c>
      <c r="W1002" s="32">
        <v>487465.94</v>
      </c>
      <c r="X1002" s="32">
        <v>0</v>
      </c>
    </row>
    <row r="1003" spans="1:27" x14ac:dyDescent="0.2">
      <c r="A1003" s="32">
        <v>5</v>
      </c>
      <c r="B1003" s="32" t="s">
        <v>1396</v>
      </c>
      <c r="C1003" s="32" t="s">
        <v>1204</v>
      </c>
      <c r="D1003" s="33">
        <v>0</v>
      </c>
      <c r="F1003" s="33">
        <v>0</v>
      </c>
      <c r="H1003" s="33">
        <v>0</v>
      </c>
      <c r="I1003" s="33">
        <v>0</v>
      </c>
      <c r="L1003" s="33">
        <v>0</v>
      </c>
      <c r="N1003" s="33">
        <v>0</v>
      </c>
      <c r="O1003" s="33">
        <v>0</v>
      </c>
      <c r="P1003" s="33">
        <v>0</v>
      </c>
      <c r="Q1003" s="33">
        <v>0</v>
      </c>
      <c r="T1003" s="33">
        <v>0</v>
      </c>
      <c r="U1003" s="32">
        <v>564</v>
      </c>
      <c r="W1003" s="32">
        <v>0</v>
      </c>
      <c r="X1003" s="32">
        <v>0</v>
      </c>
    </row>
    <row r="1004" spans="1:27" x14ac:dyDescent="0.2">
      <c r="A1004" s="32">
        <v>6</v>
      </c>
      <c r="B1004" s="32" t="s">
        <v>1397</v>
      </c>
      <c r="C1004" s="32" t="s">
        <v>1204</v>
      </c>
      <c r="D1004" s="33">
        <v>2390403.8800000004</v>
      </c>
      <c r="F1004" s="33">
        <v>1918210.2086867176</v>
      </c>
      <c r="H1004" s="33">
        <v>274583.30126895197</v>
      </c>
      <c r="I1004" s="33">
        <v>197610.37004433043</v>
      </c>
      <c r="L1004" s="33">
        <v>16.960372087932686</v>
      </c>
      <c r="N1004" s="33">
        <v>197593.4096722425</v>
      </c>
      <c r="O1004" s="33">
        <v>61654.157211366975</v>
      </c>
      <c r="P1004" s="33">
        <v>135939.25246087552</v>
      </c>
      <c r="Q1004" s="33">
        <v>0</v>
      </c>
      <c r="T1004" s="33">
        <v>2390403.88</v>
      </c>
      <c r="U1004" s="32">
        <v>565</v>
      </c>
      <c r="W1004" s="32">
        <v>2390403.88</v>
      </c>
      <c r="X1004" s="32">
        <v>0</v>
      </c>
      <c r="Y1004" s="32" t="s">
        <v>2621</v>
      </c>
    </row>
    <row r="1005" spans="1:27" x14ac:dyDescent="0.2">
      <c r="A1005" s="32">
        <v>7</v>
      </c>
      <c r="B1005" s="32" t="s">
        <v>1398</v>
      </c>
      <c r="C1005" s="32" t="s">
        <v>1204</v>
      </c>
      <c r="D1005" s="33">
        <v>12105329.560000001</v>
      </c>
      <c r="F1005" s="33">
        <v>9779438.4120993223</v>
      </c>
      <c r="H1005" s="33">
        <v>1352518.9103161027</v>
      </c>
      <c r="I1005" s="33">
        <v>973372.23758457624</v>
      </c>
      <c r="L1005" s="33">
        <v>83.541948359261625</v>
      </c>
      <c r="N1005" s="33">
        <v>973288.69563621702</v>
      </c>
      <c r="O1005" s="33">
        <v>303690.76758348651</v>
      </c>
      <c r="P1005" s="33">
        <v>669597.92805273051</v>
      </c>
      <c r="Q1005" s="33">
        <v>0</v>
      </c>
      <c r="T1005" s="33">
        <v>11774446.720000001</v>
      </c>
      <c r="U1005" s="32">
        <v>566</v>
      </c>
      <c r="W1005" s="32">
        <v>12105329.560000001</v>
      </c>
      <c r="X1005" s="32">
        <v>330882.83999999985</v>
      </c>
      <c r="Y1005" s="32">
        <v>330882.83999999997</v>
      </c>
    </row>
    <row r="1006" spans="1:27" x14ac:dyDescent="0.2">
      <c r="A1006" s="32">
        <v>8</v>
      </c>
      <c r="B1006" s="32" t="s">
        <v>1399</v>
      </c>
      <c r="C1006" s="32" t="s">
        <v>1204</v>
      </c>
      <c r="D1006" s="33">
        <v>142846.5</v>
      </c>
      <c r="F1006" s="33">
        <v>114629.00343651016</v>
      </c>
      <c r="H1006" s="33">
        <v>16408.634487622799</v>
      </c>
      <c r="I1006" s="33">
        <v>11808.862075867048</v>
      </c>
      <c r="L1006" s="33">
        <v>1.0135232007148838</v>
      </c>
      <c r="N1006" s="33">
        <v>11807.848552666333</v>
      </c>
      <c r="O1006" s="33">
        <v>3684.3483403706377</v>
      </c>
      <c r="P1006" s="33">
        <v>8123.5002122956957</v>
      </c>
      <c r="Q1006" s="33">
        <v>0</v>
      </c>
      <c r="T1006" s="33">
        <v>142846.5</v>
      </c>
      <c r="U1006" s="32">
        <v>567</v>
      </c>
      <c r="W1006" s="32">
        <v>142846.5</v>
      </c>
      <c r="X1006" s="32">
        <v>0</v>
      </c>
      <c r="Y1006" s="32" t="s">
        <v>2622</v>
      </c>
    </row>
    <row r="1007" spans="1:27" x14ac:dyDescent="0.2">
      <c r="A1007" s="32">
        <v>9</v>
      </c>
      <c r="B1007" s="32" t="s">
        <v>2623</v>
      </c>
      <c r="C1007" s="32" t="s">
        <v>1204</v>
      </c>
      <c r="D1007" s="33">
        <v>1397355.6400000001</v>
      </c>
      <c r="F1007" s="33">
        <v>1224444.8729017179</v>
      </c>
      <c r="H1007" s="33">
        <v>172877.31365183214</v>
      </c>
      <c r="I1007" s="33">
        <v>33.453446450120182</v>
      </c>
      <c r="L1007" s="33">
        <v>-4.436747706350916</v>
      </c>
      <c r="N1007" s="33">
        <v>37.890194156471097</v>
      </c>
      <c r="O1007" s="33">
        <v>11.822701937110487</v>
      </c>
      <c r="P1007" s="33">
        <v>26.067492219360613</v>
      </c>
      <c r="Q1007" s="33">
        <v>0</v>
      </c>
      <c r="T1007" s="33">
        <v>458.38000000009782</v>
      </c>
      <c r="U1007" s="32">
        <v>575.70000000000005</v>
      </c>
      <c r="W1007" s="32">
        <v>1397355.6400000001</v>
      </c>
      <c r="X1007" s="32">
        <v>1396897.26</v>
      </c>
      <c r="Y1007" s="32">
        <v>1224077.04</v>
      </c>
    </row>
    <row r="1008" spans="1:27" x14ac:dyDescent="0.2">
      <c r="A1008" s="32">
        <v>10</v>
      </c>
      <c r="B1008" s="32" t="s">
        <v>1400</v>
      </c>
      <c r="D1008" s="33">
        <v>21642085.25</v>
      </c>
      <c r="F1008" s="33">
        <v>17535449.100772381</v>
      </c>
      <c r="H1008" s="33">
        <v>2460360.9614237966</v>
      </c>
      <c r="I1008" s="33">
        <v>1646275.1878038235</v>
      </c>
      <c r="L1008" s="33">
        <v>136.85579860648241</v>
      </c>
      <c r="N1008" s="33">
        <v>1646138.332005217</v>
      </c>
      <c r="O1008" s="33">
        <v>513636.92585423478</v>
      </c>
      <c r="P1008" s="33">
        <v>1132501.4061509822</v>
      </c>
      <c r="Q1008" s="33">
        <v>0</v>
      </c>
      <c r="Y1008" s="32" t="s">
        <v>2624</v>
      </c>
      <c r="Z1008" s="32">
        <v>174704.87</v>
      </c>
      <c r="AA1008" s="32" t="s">
        <v>2625</v>
      </c>
    </row>
    <row r="1009" spans="1:27" x14ac:dyDescent="0.2">
      <c r="A1009" s="32">
        <v>11</v>
      </c>
      <c r="B1009" s="32" t="s">
        <v>1401</v>
      </c>
      <c r="C1009" s="32" t="s">
        <v>1204</v>
      </c>
      <c r="D1009" s="33">
        <v>0</v>
      </c>
      <c r="F1009" s="33">
        <v>0</v>
      </c>
      <c r="H1009" s="33">
        <v>0</v>
      </c>
      <c r="I1009" s="33">
        <v>0</v>
      </c>
      <c r="L1009" s="33">
        <v>0</v>
      </c>
      <c r="N1009" s="33">
        <v>0</v>
      </c>
      <c r="O1009" s="33">
        <v>0</v>
      </c>
      <c r="P1009" s="33">
        <v>0</v>
      </c>
      <c r="Q1009" s="33">
        <v>0</v>
      </c>
      <c r="T1009" s="33">
        <v>0</v>
      </c>
      <c r="U1009" s="32">
        <v>568</v>
      </c>
      <c r="W1009" s="32">
        <v>0</v>
      </c>
      <c r="X1009" s="32">
        <v>0</v>
      </c>
      <c r="Y1009" s="32" t="s">
        <v>2626</v>
      </c>
      <c r="Z1009" s="32">
        <v>-1880.21</v>
      </c>
      <c r="AA1009" s="32" t="s">
        <v>2627</v>
      </c>
    </row>
    <row r="1010" spans="1:27" x14ac:dyDescent="0.2">
      <c r="A1010" s="32">
        <v>12</v>
      </c>
      <c r="B1010" s="32" t="s">
        <v>1402</v>
      </c>
      <c r="C1010" s="32" t="s">
        <v>1204</v>
      </c>
      <c r="D1010" s="33">
        <v>0</v>
      </c>
      <c r="F1010" s="33">
        <v>0</v>
      </c>
      <c r="H1010" s="33">
        <v>0</v>
      </c>
      <c r="I1010" s="33">
        <v>0</v>
      </c>
      <c r="L1010" s="33">
        <v>0</v>
      </c>
      <c r="N1010" s="33">
        <v>0</v>
      </c>
      <c r="O1010" s="33">
        <v>0</v>
      </c>
      <c r="P1010" s="33">
        <v>0</v>
      </c>
      <c r="Q1010" s="33">
        <v>0</v>
      </c>
      <c r="T1010" s="33">
        <v>0</v>
      </c>
      <c r="U1010" s="32">
        <v>569</v>
      </c>
      <c r="W1010" s="32">
        <v>0</v>
      </c>
      <c r="X1010" s="32">
        <v>0</v>
      </c>
      <c r="Y1010" s="32" t="s">
        <v>2628</v>
      </c>
      <c r="Z1010" s="32">
        <v>-4.4399999999999995</v>
      </c>
      <c r="AA1010" s="32" t="s">
        <v>2627</v>
      </c>
    </row>
    <row r="1011" spans="1:27" x14ac:dyDescent="0.2">
      <c r="A1011" s="32">
        <v>13</v>
      </c>
      <c r="B1011" s="32" t="s">
        <v>1403</v>
      </c>
      <c r="C1011" s="32" t="s">
        <v>1204</v>
      </c>
      <c r="D1011" s="33">
        <v>1954950.8</v>
      </c>
      <c r="F1011" s="33">
        <v>1568775.3075602711</v>
      </c>
      <c r="H1011" s="33">
        <v>224563.24179091389</v>
      </c>
      <c r="I1011" s="33">
        <v>161612.25064881498</v>
      </c>
      <c r="L1011" s="33">
        <v>13.870749315216841</v>
      </c>
      <c r="N1011" s="33">
        <v>161598.37989949976</v>
      </c>
      <c r="O1011" s="33">
        <v>50422.794646604925</v>
      </c>
      <c r="P1011" s="33">
        <v>111175.58525289483</v>
      </c>
      <c r="Q1011" s="33">
        <v>0</v>
      </c>
      <c r="T1011" s="33">
        <v>1954950.8</v>
      </c>
      <c r="U1011" s="32">
        <v>570</v>
      </c>
      <c r="W1011" s="32">
        <v>1954950.8</v>
      </c>
      <c r="X1011" s="32">
        <v>0</v>
      </c>
      <c r="Y1011" s="32" t="s">
        <v>2629</v>
      </c>
    </row>
    <row r="1012" spans="1:27" x14ac:dyDescent="0.2">
      <c r="A1012" s="32">
        <v>14</v>
      </c>
      <c r="B1012" s="32" t="s">
        <v>1404</v>
      </c>
      <c r="C1012" s="32" t="s">
        <v>1204</v>
      </c>
      <c r="D1012" s="33">
        <v>4660622.09</v>
      </c>
      <c r="F1012" s="33">
        <v>3755066.053588747</v>
      </c>
      <c r="H1012" s="33">
        <v>526585.97746613831</v>
      </c>
      <c r="I1012" s="33">
        <v>378970.05894511513</v>
      </c>
      <c r="L1012" s="33">
        <v>32.525991467214219</v>
      </c>
      <c r="N1012" s="33">
        <v>378937.5329536479</v>
      </c>
      <c r="O1012" s="33">
        <v>118238.12478748757</v>
      </c>
      <c r="P1012" s="33">
        <v>260699.40816616031</v>
      </c>
      <c r="Q1012" s="33">
        <v>0</v>
      </c>
      <c r="T1012" s="33">
        <v>4584230.57</v>
      </c>
      <c r="U1012" s="32">
        <v>571</v>
      </c>
      <c r="W1012" s="32">
        <v>4660622.09</v>
      </c>
      <c r="X1012" s="32">
        <v>76391.519999999553</v>
      </c>
      <c r="Y1012" s="32">
        <v>76391.520000000004</v>
      </c>
    </row>
    <row r="1013" spans="1:27" x14ac:dyDescent="0.2">
      <c r="A1013" s="32">
        <v>15</v>
      </c>
      <c r="B1013" s="32" t="s">
        <v>1405</v>
      </c>
      <c r="C1013" s="32" t="s">
        <v>1204</v>
      </c>
      <c r="D1013" s="33">
        <v>0</v>
      </c>
      <c r="F1013" s="33">
        <v>0</v>
      </c>
      <c r="H1013" s="33">
        <v>0</v>
      </c>
      <c r="I1013" s="33">
        <v>0</v>
      </c>
      <c r="L1013" s="33">
        <v>0</v>
      </c>
      <c r="N1013" s="33">
        <v>0</v>
      </c>
      <c r="O1013" s="33">
        <v>0</v>
      </c>
      <c r="P1013" s="33">
        <v>0</v>
      </c>
      <c r="Q1013" s="33">
        <v>0</v>
      </c>
      <c r="T1013" s="33">
        <v>0</v>
      </c>
      <c r="U1013" s="32">
        <v>572</v>
      </c>
      <c r="W1013" s="32">
        <v>0</v>
      </c>
      <c r="X1013" s="32">
        <v>0</v>
      </c>
    </row>
    <row r="1014" spans="1:27" x14ac:dyDescent="0.2">
      <c r="A1014" s="32">
        <v>16</v>
      </c>
      <c r="B1014" s="32" t="s">
        <v>1406</v>
      </c>
      <c r="C1014" s="32" t="s">
        <v>1204</v>
      </c>
      <c r="D1014" s="33">
        <v>680912.85000000009</v>
      </c>
      <c r="F1014" s="33">
        <v>546407.23729747615</v>
      </c>
      <c r="H1014" s="33">
        <v>78215.777590459184</v>
      </c>
      <c r="I1014" s="33">
        <v>56289.835112064684</v>
      </c>
      <c r="L1014" s="33">
        <v>4.8312067228801086</v>
      </c>
      <c r="N1014" s="33">
        <v>56285.0039053418</v>
      </c>
      <c r="O1014" s="33">
        <v>17562.349296864402</v>
      </c>
      <c r="P1014" s="33">
        <v>38722.654608477402</v>
      </c>
      <c r="Q1014" s="33">
        <v>0</v>
      </c>
      <c r="T1014" s="33">
        <v>680912.85</v>
      </c>
      <c r="U1014" s="32">
        <v>573</v>
      </c>
      <c r="W1014" s="32">
        <v>680912.85</v>
      </c>
      <c r="X1014" s="32">
        <v>0</v>
      </c>
    </row>
    <row r="1015" spans="1:27" x14ac:dyDescent="0.2">
      <c r="A1015" s="32">
        <v>17</v>
      </c>
      <c r="B1015" s="32" t="s">
        <v>1407</v>
      </c>
      <c r="D1015" s="33">
        <v>7296485.7400000012</v>
      </c>
      <c r="F1015" s="33">
        <v>5870248.5984464949</v>
      </c>
      <c r="H1015" s="33">
        <v>829364.99684751139</v>
      </c>
      <c r="I1015" s="33">
        <v>596872.14470599475</v>
      </c>
      <c r="L1015" s="33">
        <v>51.227947505311171</v>
      </c>
      <c r="N1015" s="33">
        <v>596820.91675848945</v>
      </c>
      <c r="O1015" s="33">
        <v>186223.26873095692</v>
      </c>
      <c r="P1015" s="33">
        <v>410597.6480275325</v>
      </c>
      <c r="Q1015" s="33">
        <v>0</v>
      </c>
    </row>
    <row r="1016" spans="1:27" x14ac:dyDescent="0.2">
      <c r="F1016" s="33"/>
    </row>
    <row r="1017" spans="1:27" x14ac:dyDescent="0.2">
      <c r="A1017" s="32">
        <v>18</v>
      </c>
      <c r="B1017" s="32" t="s">
        <v>1408</v>
      </c>
      <c r="D1017" s="33">
        <v>28938570.990000006</v>
      </c>
      <c r="F1017" s="33">
        <v>23405697.699218877</v>
      </c>
      <c r="H1017" s="33">
        <v>3289725.9582713079</v>
      </c>
      <c r="I1017" s="33">
        <v>2243147.3325098185</v>
      </c>
      <c r="L1017" s="33">
        <v>188.08374611179357</v>
      </c>
      <c r="N1017" s="33">
        <v>2242959.2487637065</v>
      </c>
      <c r="O1017" s="33">
        <v>699860.19458519167</v>
      </c>
      <c r="P1017" s="33">
        <v>1543099.0541785148</v>
      </c>
      <c r="Q1017" s="33">
        <v>0</v>
      </c>
    </row>
    <row r="1018" spans="1:27" x14ac:dyDescent="0.2">
      <c r="F1018" s="33"/>
    </row>
    <row r="1019" spans="1:27" x14ac:dyDescent="0.2">
      <c r="B1019" s="32" t="s">
        <v>914</v>
      </c>
      <c r="F1019" s="33"/>
    </row>
    <row r="1020" spans="1:27" x14ac:dyDescent="0.2">
      <c r="A1020" s="32">
        <v>19</v>
      </c>
      <c r="B1020" s="32" t="s">
        <v>915</v>
      </c>
      <c r="C1020" s="32" t="s">
        <v>1860</v>
      </c>
      <c r="D1020" s="33">
        <v>2005458.21</v>
      </c>
      <c r="F1020" s="33">
        <v>1886828.7080854911</v>
      </c>
      <c r="H1020" s="33">
        <v>112357.50382072436</v>
      </c>
      <c r="I1020" s="33">
        <v>6271.9980937845512</v>
      </c>
      <c r="L1020" s="33">
        <v>226.65571699492472</v>
      </c>
      <c r="N1020" s="33">
        <v>6045.3423767896265</v>
      </c>
      <c r="O1020" s="33">
        <v>5195.0117234096078</v>
      </c>
      <c r="P1020" s="33">
        <v>850.33065338001904</v>
      </c>
      <c r="Q1020" s="33">
        <v>0</v>
      </c>
      <c r="T1020" s="33">
        <v>2005458.21</v>
      </c>
      <c r="U1020" s="32">
        <v>580</v>
      </c>
      <c r="W1020" s="32">
        <v>2005458.21</v>
      </c>
      <c r="X1020" s="32">
        <v>0</v>
      </c>
    </row>
    <row r="1021" spans="1:27" x14ac:dyDescent="0.2">
      <c r="A1021" s="32">
        <v>20</v>
      </c>
      <c r="B1021" s="32" t="s">
        <v>916</v>
      </c>
      <c r="C1021" s="32" t="s">
        <v>2461</v>
      </c>
      <c r="D1021" s="33">
        <v>762447.17999999982</v>
      </c>
      <c r="F1021" s="33">
        <v>705212.62453061063</v>
      </c>
      <c r="H1021" s="33">
        <v>40151.585366465908</v>
      </c>
      <c r="I1021" s="33">
        <v>17082.970102923373</v>
      </c>
      <c r="L1021" s="33">
        <v>306.64383742809474</v>
      </c>
      <c r="N1021" s="33">
        <v>16776.326265495278</v>
      </c>
      <c r="O1021" s="33">
        <v>16776.326265495278</v>
      </c>
      <c r="P1021" s="33">
        <v>0</v>
      </c>
      <c r="Q1021" s="33">
        <v>0</v>
      </c>
      <c r="T1021" s="33">
        <v>762447.17999999993</v>
      </c>
      <c r="U1021" s="32">
        <v>581</v>
      </c>
      <c r="W1021" s="32">
        <v>762447.17999999993</v>
      </c>
      <c r="X1021" s="32">
        <v>0</v>
      </c>
    </row>
    <row r="1022" spans="1:27" x14ac:dyDescent="0.2">
      <c r="A1022" s="32">
        <v>21</v>
      </c>
      <c r="B1022" s="32" t="s">
        <v>917</v>
      </c>
      <c r="C1022" s="32" t="s">
        <v>2461</v>
      </c>
      <c r="D1022" s="33">
        <v>1518314.26</v>
      </c>
      <c r="F1022" s="33">
        <v>1404339.0968497675</v>
      </c>
      <c r="H1022" s="33">
        <v>79956.653028098983</v>
      </c>
      <c r="I1022" s="33">
        <v>34018.510122133623</v>
      </c>
      <c r="L1022" s="33">
        <v>610.64126580965001</v>
      </c>
      <c r="N1022" s="33">
        <v>33407.86885632397</v>
      </c>
      <c r="O1022" s="33">
        <v>33407.86885632397</v>
      </c>
      <c r="P1022" s="33">
        <v>0</v>
      </c>
      <c r="Q1022" s="33">
        <v>0</v>
      </c>
      <c r="T1022" s="33">
        <v>1518314.2600000002</v>
      </c>
      <c r="U1022" s="32">
        <v>582</v>
      </c>
      <c r="W1022" s="32">
        <v>1518314.2600000002</v>
      </c>
      <c r="X1022" s="32">
        <v>0</v>
      </c>
    </row>
    <row r="1023" spans="1:27" x14ac:dyDescent="0.2">
      <c r="A1023" s="32">
        <v>22</v>
      </c>
      <c r="B1023" s="32" t="s">
        <v>918</v>
      </c>
      <c r="C1023" s="32" t="s">
        <v>2460</v>
      </c>
      <c r="D1023" s="33">
        <v>3566080.97</v>
      </c>
      <c r="F1023" s="33">
        <v>3298413.3216719995</v>
      </c>
      <c r="H1023" s="33">
        <v>267085.02986442792</v>
      </c>
      <c r="I1023" s="33">
        <v>582.61846357243246</v>
      </c>
      <c r="L1023" s="33">
        <v>582.61846357243246</v>
      </c>
      <c r="N1023" s="33">
        <v>0</v>
      </c>
      <c r="O1023" s="33">
        <v>0</v>
      </c>
      <c r="P1023" s="33">
        <v>0</v>
      </c>
      <c r="Q1023" s="33">
        <v>0</v>
      </c>
      <c r="T1023" s="33">
        <v>3566080.9699999997</v>
      </c>
      <c r="U1023" s="32">
        <v>583</v>
      </c>
      <c r="W1023" s="32">
        <v>3566080.9699999997</v>
      </c>
      <c r="X1023" s="32">
        <v>0</v>
      </c>
    </row>
    <row r="1024" spans="1:27" x14ac:dyDescent="0.2">
      <c r="A1024" s="32">
        <v>23</v>
      </c>
      <c r="B1024" s="32" t="s">
        <v>919</v>
      </c>
      <c r="C1024" s="32" t="s">
        <v>2462</v>
      </c>
      <c r="D1024" s="33">
        <v>260294.65000000002</v>
      </c>
      <c r="F1024" s="33">
        <v>255302.14618050162</v>
      </c>
      <c r="H1024" s="33">
        <v>4992.5038194984145</v>
      </c>
      <c r="I1024" s="33">
        <v>0</v>
      </c>
      <c r="L1024" s="33">
        <v>0</v>
      </c>
      <c r="N1024" s="33">
        <v>0</v>
      </c>
      <c r="O1024" s="33">
        <v>0</v>
      </c>
      <c r="P1024" s="33">
        <v>0</v>
      </c>
      <c r="Q1024" s="33">
        <v>0</v>
      </c>
      <c r="T1024" s="33">
        <v>260294.65</v>
      </c>
      <c r="U1024" s="32">
        <v>584</v>
      </c>
      <c r="W1024" s="32">
        <v>260294.65</v>
      </c>
      <c r="X1024" s="32">
        <v>0</v>
      </c>
    </row>
    <row r="1025" spans="1:25" x14ac:dyDescent="0.2">
      <c r="A1025" s="32">
        <v>24</v>
      </c>
      <c r="B1025" s="32" t="s">
        <v>920</v>
      </c>
      <c r="C1025" s="32" t="s">
        <v>2463</v>
      </c>
      <c r="D1025" s="33">
        <v>22469.54</v>
      </c>
      <c r="F1025" s="33">
        <v>21917.735759139156</v>
      </c>
      <c r="H1025" s="33">
        <v>551.80424086084486</v>
      </c>
      <c r="I1025" s="33">
        <v>0</v>
      </c>
      <c r="L1025" s="33">
        <v>0</v>
      </c>
      <c r="N1025" s="33">
        <v>0</v>
      </c>
      <c r="O1025" s="33">
        <v>0</v>
      </c>
      <c r="P1025" s="33">
        <v>0</v>
      </c>
      <c r="Q1025" s="33">
        <v>0</v>
      </c>
      <c r="T1025" s="33">
        <v>22469.54</v>
      </c>
      <c r="U1025" s="32">
        <v>585</v>
      </c>
      <c r="W1025" s="32">
        <v>22469.54</v>
      </c>
      <c r="X1025" s="32">
        <v>0</v>
      </c>
    </row>
    <row r="1026" spans="1:25" x14ac:dyDescent="0.2">
      <c r="A1026" s="32">
        <v>25</v>
      </c>
      <c r="B1026" s="32" t="s">
        <v>921</v>
      </c>
      <c r="C1026" s="32" t="s">
        <v>2464</v>
      </c>
      <c r="D1026" s="33">
        <v>7762013.2300000004</v>
      </c>
      <c r="F1026" s="33">
        <v>7329418.9115222199</v>
      </c>
      <c r="H1026" s="33">
        <v>398102.79279948102</v>
      </c>
      <c r="I1026" s="33">
        <v>34491.525678299091</v>
      </c>
      <c r="L1026" s="33">
        <v>12.157008499950123</v>
      </c>
      <c r="N1026" s="33">
        <v>34479.368669799143</v>
      </c>
      <c r="O1026" s="33">
        <v>7322.9887985250552</v>
      </c>
      <c r="P1026" s="33">
        <v>27156.37987127409</v>
      </c>
      <c r="Q1026" s="33">
        <v>0</v>
      </c>
      <c r="T1026" s="33">
        <v>7762013.2300000004</v>
      </c>
      <c r="U1026" s="32">
        <v>586</v>
      </c>
      <c r="W1026" s="32">
        <v>7762013.2300000004</v>
      </c>
      <c r="X1026" s="32">
        <v>0</v>
      </c>
    </row>
    <row r="1027" spans="1:25" x14ac:dyDescent="0.2">
      <c r="A1027" s="32">
        <v>26</v>
      </c>
      <c r="B1027" s="32" t="s">
        <v>922</v>
      </c>
      <c r="C1027" s="32" t="s">
        <v>2465</v>
      </c>
      <c r="D1027" s="33">
        <v>-74302.51999999999</v>
      </c>
      <c r="F1027" s="33">
        <v>-70814.303211158403</v>
      </c>
      <c r="H1027" s="33">
        <v>-3488.2167888415925</v>
      </c>
      <c r="I1027" s="33">
        <v>0</v>
      </c>
      <c r="L1027" s="33">
        <v>0</v>
      </c>
      <c r="N1027" s="33">
        <v>0</v>
      </c>
      <c r="O1027" s="33">
        <v>0</v>
      </c>
      <c r="P1027" s="33">
        <v>0</v>
      </c>
      <c r="Q1027" s="33">
        <v>0</v>
      </c>
      <c r="T1027" s="33">
        <v>-74302.52</v>
      </c>
      <c r="U1027" s="32">
        <v>587</v>
      </c>
      <c r="W1027" s="32">
        <v>-74302.52</v>
      </c>
      <c r="X1027" s="32">
        <v>0</v>
      </c>
    </row>
    <row r="1028" spans="1:25" x14ac:dyDescent="0.2">
      <c r="A1028" s="32">
        <v>27</v>
      </c>
      <c r="B1028" s="32" t="s">
        <v>923</v>
      </c>
      <c r="C1028" s="32" t="s">
        <v>1860</v>
      </c>
      <c r="D1028" s="33">
        <v>5002069.4700000016</v>
      </c>
      <c r="F1028" s="33">
        <v>4706180.4772456363</v>
      </c>
      <c r="H1028" s="33">
        <v>280245.20121366868</v>
      </c>
      <c r="I1028" s="33">
        <v>15643.791540696282</v>
      </c>
      <c r="L1028" s="33">
        <v>565.33097350419143</v>
      </c>
      <c r="N1028" s="33">
        <v>15078.460567192091</v>
      </c>
      <c r="O1028" s="33">
        <v>12957.542275567681</v>
      </c>
      <c r="P1028" s="33">
        <v>2120.9182916244094</v>
      </c>
      <c r="Q1028" s="33">
        <v>0</v>
      </c>
      <c r="T1028" s="33">
        <v>5002069.4700000007</v>
      </c>
      <c r="U1028" s="32">
        <v>588</v>
      </c>
      <c r="W1028" s="32">
        <v>5002069.4700000007</v>
      </c>
      <c r="X1028" s="32">
        <v>0</v>
      </c>
    </row>
    <row r="1029" spans="1:25" x14ac:dyDescent="0.2">
      <c r="A1029" s="32">
        <v>28</v>
      </c>
      <c r="B1029" s="32" t="s">
        <v>924</v>
      </c>
      <c r="C1029" s="32" t="s">
        <v>1860</v>
      </c>
      <c r="D1029" s="33">
        <v>11380.16</v>
      </c>
      <c r="F1029" s="33">
        <v>10706.985806802817</v>
      </c>
      <c r="H1029" s="33">
        <v>637.58315396682065</v>
      </c>
      <c r="I1029" s="33">
        <v>35.591039230362817</v>
      </c>
      <c r="L1029" s="33">
        <v>1.2861790444972485</v>
      </c>
      <c r="N1029" s="33">
        <v>34.304860185865572</v>
      </c>
      <c r="O1029" s="33">
        <v>29.479579439492326</v>
      </c>
      <c r="P1029" s="33">
        <v>4.8252807463732479</v>
      </c>
      <c r="Q1029" s="33">
        <v>0</v>
      </c>
      <c r="T1029" s="33">
        <v>11380.16</v>
      </c>
      <c r="U1029" s="32">
        <v>589</v>
      </c>
      <c r="W1029" s="32">
        <v>11380.16</v>
      </c>
      <c r="X1029" s="32">
        <v>0</v>
      </c>
    </row>
    <row r="1030" spans="1:25" x14ac:dyDescent="0.2">
      <c r="A1030" s="32">
        <v>29</v>
      </c>
      <c r="B1030" s="32" t="s">
        <v>925</v>
      </c>
      <c r="D1030" s="33">
        <v>20836225.150000006</v>
      </c>
      <c r="F1030" s="33">
        <v>19547505.704441015</v>
      </c>
      <c r="H1030" s="33">
        <v>1180592.4405183513</v>
      </c>
      <c r="I1030" s="33">
        <v>108127.00504063971</v>
      </c>
      <c r="L1030" s="33">
        <v>2305.3334448537407</v>
      </c>
      <c r="N1030" s="33">
        <v>105821.67159578597</v>
      </c>
      <c r="O1030" s="33">
        <v>75689.217498761078</v>
      </c>
      <c r="P1030" s="33">
        <v>30132.454097024893</v>
      </c>
      <c r="Q1030" s="33">
        <v>0</v>
      </c>
    </row>
    <row r="1031" spans="1:25" x14ac:dyDescent="0.2">
      <c r="A1031" s="32">
        <v>30</v>
      </c>
      <c r="B1031" s="32" t="s">
        <v>926</v>
      </c>
      <c r="C1031" s="32" t="s">
        <v>1860</v>
      </c>
      <c r="D1031" s="33">
        <v>141390.00000000003</v>
      </c>
      <c r="F1031" s="33">
        <v>133026.31274286567</v>
      </c>
      <c r="H1031" s="33">
        <v>7921.4951406103937</v>
      </c>
      <c r="I1031" s="33">
        <v>442.19211652393284</v>
      </c>
      <c r="L1031" s="33">
        <v>15.979815319069854</v>
      </c>
      <c r="N1031" s="33">
        <v>426.21230120486297</v>
      </c>
      <c r="O1031" s="33">
        <v>366.26178691247048</v>
      </c>
      <c r="P1031" s="33">
        <v>59.950514292392505</v>
      </c>
      <c r="Q1031" s="33">
        <v>0</v>
      </c>
      <c r="T1031" s="33">
        <v>141390</v>
      </c>
      <c r="U1031" s="32">
        <v>590</v>
      </c>
      <c r="W1031" s="32">
        <v>141390</v>
      </c>
      <c r="X1031" s="32">
        <v>0</v>
      </c>
    </row>
    <row r="1032" spans="1:25" x14ac:dyDescent="0.2">
      <c r="A1032" s="32">
        <v>31</v>
      </c>
      <c r="B1032" s="32" t="s">
        <v>927</v>
      </c>
      <c r="C1032" s="32" t="s">
        <v>2461</v>
      </c>
      <c r="D1032" s="33">
        <v>0</v>
      </c>
      <c r="F1032" s="33">
        <v>0</v>
      </c>
      <c r="H1032" s="33">
        <v>0</v>
      </c>
      <c r="I1032" s="33">
        <v>0</v>
      </c>
      <c r="L1032" s="33">
        <v>0</v>
      </c>
      <c r="N1032" s="33">
        <v>0</v>
      </c>
      <c r="O1032" s="33">
        <v>0</v>
      </c>
      <c r="P1032" s="33">
        <v>0</v>
      </c>
      <c r="Q1032" s="33">
        <v>0</v>
      </c>
      <c r="T1032" s="33">
        <v>0</v>
      </c>
      <c r="U1032" s="32">
        <v>591</v>
      </c>
      <c r="W1032" s="32">
        <v>0</v>
      </c>
      <c r="X1032" s="32">
        <v>0</v>
      </c>
    </row>
    <row r="1033" spans="1:25" x14ac:dyDescent="0.2">
      <c r="A1033" s="32">
        <v>32</v>
      </c>
      <c r="B1033" s="32" t="s">
        <v>928</v>
      </c>
      <c r="C1033" s="32" t="s">
        <v>2461</v>
      </c>
      <c r="D1033" s="33">
        <v>702682.51999999979</v>
      </c>
      <c r="F1033" s="33">
        <v>649934.31301166757</v>
      </c>
      <c r="H1033" s="33">
        <v>37004.290824845586</v>
      </c>
      <c r="I1033" s="33">
        <v>15743.916163486703</v>
      </c>
      <c r="L1033" s="33">
        <v>282.6074645937361</v>
      </c>
      <c r="N1033" s="33">
        <v>15461.308698892966</v>
      </c>
      <c r="O1033" s="33">
        <v>15461.308698892966</v>
      </c>
      <c r="P1033" s="33">
        <v>0</v>
      </c>
      <c r="Q1033" s="33">
        <v>0</v>
      </c>
      <c r="T1033" s="33">
        <v>702682.5199999999</v>
      </c>
      <c r="U1033" s="32">
        <v>592</v>
      </c>
      <c r="W1033" s="32">
        <v>702682.5199999999</v>
      </c>
      <c r="X1033" s="32">
        <v>0</v>
      </c>
      <c r="Y1033" s="32" t="s">
        <v>2630</v>
      </c>
    </row>
    <row r="1034" spans="1:25" x14ac:dyDescent="0.2">
      <c r="A1034" s="32">
        <v>33</v>
      </c>
      <c r="B1034" s="32" t="s">
        <v>929</v>
      </c>
      <c r="C1034" s="32" t="s">
        <v>2460</v>
      </c>
      <c r="D1034" s="33">
        <v>32306694.27</v>
      </c>
      <c r="F1034" s="33">
        <v>29856454.022518419</v>
      </c>
      <c r="H1034" s="33">
        <v>2446002.8178143986</v>
      </c>
      <c r="I1034" s="33">
        <v>4237.4296671826596</v>
      </c>
      <c r="L1034" s="33">
        <v>4237.4296671826596</v>
      </c>
      <c r="N1034" s="33">
        <v>0</v>
      </c>
      <c r="O1034" s="33">
        <v>0</v>
      </c>
      <c r="P1034" s="33">
        <v>0</v>
      </c>
      <c r="Q1034" s="33">
        <v>0</v>
      </c>
      <c r="T1034" s="33">
        <v>25936385.890000001</v>
      </c>
      <c r="U1034" s="32">
        <v>593</v>
      </c>
      <c r="W1034" s="32">
        <v>32306694.27</v>
      </c>
      <c r="X1034" s="32">
        <v>6370308.379999999</v>
      </c>
      <c r="Y1034" s="32">
        <v>219551.64</v>
      </c>
    </row>
    <row r="1035" spans="1:25" x14ac:dyDescent="0.2">
      <c r="A1035" s="32">
        <v>34</v>
      </c>
      <c r="B1035" s="32" t="s">
        <v>930</v>
      </c>
      <c r="C1035" s="32" t="s">
        <v>2462</v>
      </c>
      <c r="D1035" s="33">
        <v>485649.37000000005</v>
      </c>
      <c r="F1035" s="33">
        <v>476334.51725653413</v>
      </c>
      <c r="H1035" s="33">
        <v>9314.85274346591</v>
      </c>
      <c r="I1035" s="33">
        <v>0</v>
      </c>
      <c r="L1035" s="33">
        <v>0</v>
      </c>
      <c r="N1035" s="33">
        <v>0</v>
      </c>
      <c r="O1035" s="33">
        <v>0</v>
      </c>
      <c r="P1035" s="33">
        <v>0</v>
      </c>
      <c r="Q1035" s="33">
        <v>0</v>
      </c>
      <c r="T1035" s="33">
        <v>485649.37</v>
      </c>
      <c r="U1035" s="32">
        <v>594</v>
      </c>
      <c r="W1035" s="32">
        <v>485649.37</v>
      </c>
      <c r="X1035" s="32">
        <v>0</v>
      </c>
      <c r="Y1035" s="32" t="s">
        <v>2629</v>
      </c>
    </row>
    <row r="1036" spans="1:25" x14ac:dyDescent="0.2">
      <c r="A1036" s="32">
        <v>35</v>
      </c>
      <c r="B1036" s="32" t="s">
        <v>931</v>
      </c>
      <c r="C1036" s="32" t="s">
        <v>2466</v>
      </c>
      <c r="D1036" s="33">
        <v>196997.80999999997</v>
      </c>
      <c r="F1036" s="33">
        <v>187043.68488802123</v>
      </c>
      <c r="H1036" s="33">
        <v>9594.1953369862458</v>
      </c>
      <c r="I1036" s="33">
        <v>359.92977499250077</v>
      </c>
      <c r="L1036" s="33">
        <v>2.1333819072427338</v>
      </c>
      <c r="N1036" s="33">
        <v>357.79639308525805</v>
      </c>
      <c r="O1036" s="33">
        <v>111.64155274981039</v>
      </c>
      <c r="P1036" s="33">
        <v>246.15484033544763</v>
      </c>
      <c r="Q1036" s="33">
        <v>0</v>
      </c>
      <c r="T1036" s="33">
        <v>196997.81</v>
      </c>
      <c r="U1036" s="32">
        <v>595</v>
      </c>
      <c r="W1036" s="32">
        <v>196997.81</v>
      </c>
      <c r="X1036" s="32">
        <v>0</v>
      </c>
      <c r="Y1036" s="32">
        <v>5647284.2400000002</v>
      </c>
    </row>
    <row r="1037" spans="1:25" x14ac:dyDescent="0.2">
      <c r="A1037" s="32">
        <v>36</v>
      </c>
      <c r="B1037" s="32" t="s">
        <v>932</v>
      </c>
      <c r="C1037" s="32" t="s">
        <v>2463</v>
      </c>
      <c r="D1037" s="33">
        <v>0</v>
      </c>
      <c r="F1037" s="33">
        <v>0</v>
      </c>
      <c r="H1037" s="33">
        <v>0</v>
      </c>
      <c r="I1037" s="33">
        <v>0</v>
      </c>
      <c r="L1037" s="33">
        <v>0</v>
      </c>
      <c r="N1037" s="33">
        <v>0</v>
      </c>
      <c r="O1037" s="33">
        <v>0</v>
      </c>
      <c r="P1037" s="33">
        <v>0</v>
      </c>
      <c r="Q1037" s="33">
        <v>0</v>
      </c>
      <c r="T1037" s="33">
        <v>0</v>
      </c>
      <c r="U1037" s="32">
        <v>596</v>
      </c>
      <c r="W1037" s="32">
        <v>0</v>
      </c>
      <c r="X1037" s="32">
        <v>0</v>
      </c>
      <c r="Y1037" s="32" t="s">
        <v>2631</v>
      </c>
    </row>
    <row r="1038" spans="1:25" x14ac:dyDescent="0.2">
      <c r="A1038" s="32">
        <v>37</v>
      </c>
      <c r="B1038" s="32" t="s">
        <v>933</v>
      </c>
      <c r="C1038" s="32" t="s">
        <v>2464</v>
      </c>
      <c r="D1038" s="33">
        <v>0</v>
      </c>
      <c r="F1038" s="33">
        <v>0</v>
      </c>
      <c r="H1038" s="33">
        <v>0</v>
      </c>
      <c r="I1038" s="33">
        <v>0</v>
      </c>
      <c r="L1038" s="33">
        <v>0</v>
      </c>
      <c r="N1038" s="33">
        <v>0</v>
      </c>
      <c r="O1038" s="33">
        <v>0</v>
      </c>
      <c r="P1038" s="33">
        <v>0</v>
      </c>
      <c r="Q1038" s="33">
        <v>0</v>
      </c>
      <c r="T1038" s="33">
        <v>0</v>
      </c>
      <c r="U1038" s="32">
        <v>597</v>
      </c>
      <c r="W1038" s="32">
        <v>0</v>
      </c>
      <c r="X1038" s="32">
        <v>0</v>
      </c>
      <c r="Y1038" s="32">
        <v>503472.5</v>
      </c>
    </row>
    <row r="1039" spans="1:25" x14ac:dyDescent="0.2">
      <c r="A1039" s="32">
        <v>38</v>
      </c>
      <c r="B1039" s="32" t="s">
        <v>934</v>
      </c>
      <c r="C1039" s="32" t="s">
        <v>1860</v>
      </c>
      <c r="D1039" s="33">
        <v>135083.85</v>
      </c>
      <c r="F1039" s="33">
        <v>127093.19242245107</v>
      </c>
      <c r="H1039" s="33">
        <v>7568.1877173063394</v>
      </c>
      <c r="I1039" s="33">
        <v>422.46986024260178</v>
      </c>
      <c r="L1039" s="33">
        <v>15.267097924810342</v>
      </c>
      <c r="N1039" s="33">
        <v>407.20276231779144</v>
      </c>
      <c r="O1039" s="33">
        <v>349.92610710811323</v>
      </c>
      <c r="P1039" s="33">
        <v>57.276655209678239</v>
      </c>
      <c r="Q1039" s="33">
        <v>0</v>
      </c>
      <c r="T1039" s="33">
        <v>135083.85</v>
      </c>
      <c r="U1039" s="32">
        <v>598</v>
      </c>
      <c r="W1039" s="32">
        <v>135083.85</v>
      </c>
      <c r="X1039" s="32">
        <v>0</v>
      </c>
    </row>
    <row r="1040" spans="1:25" x14ac:dyDescent="0.2">
      <c r="A1040" s="32">
        <v>39</v>
      </c>
      <c r="B1040" s="32" t="s">
        <v>935</v>
      </c>
      <c r="D1040" s="33">
        <v>33968497.819999993</v>
      </c>
      <c r="F1040" s="33">
        <v>31429886.042839956</v>
      </c>
      <c r="H1040" s="33">
        <v>2517405.8395776134</v>
      </c>
      <c r="I1040" s="33">
        <v>21205.937582428396</v>
      </c>
      <c r="L1040" s="33">
        <v>4553.4174269275181</v>
      </c>
      <c r="N1040" s="33">
        <v>16652.520155500879</v>
      </c>
      <c r="O1040" s="33">
        <v>16289.138145663359</v>
      </c>
      <c r="P1040" s="33">
        <v>363.38200983751835</v>
      </c>
      <c r="Q1040" s="33">
        <v>0</v>
      </c>
    </row>
    <row r="1041" spans="1:24" x14ac:dyDescent="0.2">
      <c r="F1041" s="33"/>
    </row>
    <row r="1042" spans="1:24" x14ac:dyDescent="0.2">
      <c r="A1042" s="32">
        <v>40</v>
      </c>
      <c r="B1042" s="32" t="s">
        <v>936</v>
      </c>
      <c r="D1042" s="33">
        <v>54804722.970000006</v>
      </c>
      <c r="F1042" s="33">
        <v>50977391.74728097</v>
      </c>
      <c r="H1042" s="33">
        <v>3697998.2800959647</v>
      </c>
      <c r="I1042" s="33">
        <v>129332.9426230681</v>
      </c>
      <c r="L1042" s="33">
        <v>6858.7508717812589</v>
      </c>
      <c r="N1042" s="33">
        <v>122474.19175128684</v>
      </c>
      <c r="O1042" s="33">
        <v>91978.355644424431</v>
      </c>
      <c r="P1042" s="33">
        <v>30495.836106862411</v>
      </c>
      <c r="Q1042" s="33">
        <v>0</v>
      </c>
    </row>
    <row r="1043" spans="1:24" x14ac:dyDescent="0.2">
      <c r="F1043" s="33"/>
    </row>
    <row r="1044" spans="1:24" x14ac:dyDescent="0.2">
      <c r="F1044" s="33"/>
    </row>
    <row r="1045" spans="1:24" x14ac:dyDescent="0.2">
      <c r="B1045" s="32" t="s">
        <v>1390</v>
      </c>
      <c r="F1045" s="33"/>
    </row>
    <row r="1046" spans="1:24" x14ac:dyDescent="0.2">
      <c r="F1046" s="33"/>
    </row>
    <row r="1047" spans="1:24" x14ac:dyDescent="0.2">
      <c r="B1047" s="32" t="s">
        <v>937</v>
      </c>
      <c r="F1047" s="33"/>
    </row>
    <row r="1048" spans="1:24" x14ac:dyDescent="0.2">
      <c r="A1048" s="32">
        <v>1</v>
      </c>
      <c r="B1048" s="32" t="s">
        <v>913</v>
      </c>
      <c r="C1048" s="32" t="s">
        <v>669</v>
      </c>
      <c r="D1048" s="33">
        <v>2728448.9400000004</v>
      </c>
      <c r="F1048" s="33">
        <v>2581407.5247872435</v>
      </c>
      <c r="H1048" s="33">
        <v>143646.38266110787</v>
      </c>
      <c r="I1048" s="33">
        <v>3395.0325516488433</v>
      </c>
      <c r="L1048" s="33">
        <v>25.55400845327086</v>
      </c>
      <c r="N1048" s="33">
        <v>3369.4785431955725</v>
      </c>
      <c r="O1048" s="33">
        <v>1803.3828822736866</v>
      </c>
      <c r="P1048" s="33">
        <v>1566.0956609218856</v>
      </c>
      <c r="Q1048" s="33">
        <v>0</v>
      </c>
      <c r="T1048" s="33">
        <v>2728448.94</v>
      </c>
      <c r="U1048" s="32">
        <v>901</v>
      </c>
      <c r="W1048" s="32">
        <v>2728448.94</v>
      </c>
      <c r="X1048" s="32">
        <v>0</v>
      </c>
    </row>
    <row r="1049" spans="1:24" x14ac:dyDescent="0.2">
      <c r="A1049" s="32">
        <v>2</v>
      </c>
      <c r="B1049" s="32" t="s">
        <v>429</v>
      </c>
      <c r="C1049" s="32" t="s">
        <v>1813</v>
      </c>
      <c r="D1049" s="33">
        <v>4920048.4000000004</v>
      </c>
      <c r="F1049" s="33">
        <v>4654897.4312407095</v>
      </c>
      <c r="H1049" s="33">
        <v>259028.91009482168</v>
      </c>
      <c r="I1049" s="33">
        <v>6122.0586644688346</v>
      </c>
      <c r="L1049" s="33">
        <v>46.080011452991229</v>
      </c>
      <c r="N1049" s="33">
        <v>6075.9786530158435</v>
      </c>
      <c r="O1049" s="33">
        <v>3251.9322368253811</v>
      </c>
      <c r="P1049" s="33">
        <v>2824.0464161904624</v>
      </c>
      <c r="Q1049" s="33">
        <v>0</v>
      </c>
      <c r="T1049" s="33">
        <v>4920048.4000000004</v>
      </c>
      <c r="U1049" s="32">
        <v>902</v>
      </c>
      <c r="W1049" s="32">
        <v>4920048.4000000004</v>
      </c>
      <c r="X1049" s="32">
        <v>0</v>
      </c>
    </row>
    <row r="1050" spans="1:24" x14ac:dyDescent="0.2">
      <c r="A1050" s="32">
        <v>3</v>
      </c>
      <c r="B1050" s="32" t="s">
        <v>430</v>
      </c>
      <c r="C1050" s="32" t="s">
        <v>1815</v>
      </c>
      <c r="D1050" s="33">
        <v>14319514.810000001</v>
      </c>
      <c r="F1050" s="33">
        <v>13547808.331658343</v>
      </c>
      <c r="H1050" s="33">
        <v>753888.58254340698</v>
      </c>
      <c r="I1050" s="33">
        <v>17817.895798250745</v>
      </c>
      <c r="L1050" s="33">
        <v>134.11319418038195</v>
      </c>
      <c r="N1050" s="33">
        <v>17683.782604070362</v>
      </c>
      <c r="O1050" s="33">
        <v>9464.5597035869541</v>
      </c>
      <c r="P1050" s="33">
        <v>8219.222900483408</v>
      </c>
      <c r="Q1050" s="33">
        <v>0</v>
      </c>
      <c r="T1050" s="33">
        <v>14319514.810000001</v>
      </c>
      <c r="U1050" s="32">
        <v>903</v>
      </c>
      <c r="W1050" s="32">
        <v>14319514.810000001</v>
      </c>
      <c r="X1050" s="32">
        <v>0</v>
      </c>
    </row>
    <row r="1051" spans="1:24" x14ac:dyDescent="0.2">
      <c r="A1051" s="32">
        <v>4</v>
      </c>
      <c r="B1051" s="32" t="s">
        <v>431</v>
      </c>
      <c r="C1051" s="32" t="s">
        <v>1817</v>
      </c>
      <c r="D1051" s="33">
        <v>5413178.0500000007</v>
      </c>
      <c r="F1051" s="33">
        <v>5121451.3661681851</v>
      </c>
      <c r="H1051" s="33">
        <v>284991.01969011361</v>
      </c>
      <c r="I1051" s="33">
        <v>6735.6641417013316</v>
      </c>
      <c r="L1051" s="33">
        <v>50.698547303128301</v>
      </c>
      <c r="N1051" s="33">
        <v>6684.9655943982034</v>
      </c>
      <c r="O1051" s="33">
        <v>3577.8689096779117</v>
      </c>
      <c r="P1051" s="33">
        <v>3107.0966847202917</v>
      </c>
      <c r="Q1051" s="33">
        <v>0</v>
      </c>
      <c r="T1051" s="33">
        <v>5413178.0499999998</v>
      </c>
      <c r="U1051" s="32">
        <v>904</v>
      </c>
      <c r="W1051" s="32">
        <v>5413178.0499999998</v>
      </c>
      <c r="X1051" s="32">
        <v>0</v>
      </c>
    </row>
    <row r="1052" spans="1:24" x14ac:dyDescent="0.2">
      <c r="A1052" s="32">
        <v>5</v>
      </c>
      <c r="B1052" s="32" t="s">
        <v>432</v>
      </c>
      <c r="C1052" s="32" t="s">
        <v>2467</v>
      </c>
      <c r="D1052" s="33">
        <v>750344.74000000011</v>
      </c>
      <c r="F1052" s="33">
        <v>709907.20391510346</v>
      </c>
      <c r="H1052" s="33">
        <v>39503.875652439187</v>
      </c>
      <c r="I1052" s="33">
        <v>933.66043245745607</v>
      </c>
      <c r="L1052" s="33">
        <v>7.0275516421528952</v>
      </c>
      <c r="N1052" s="33">
        <v>926.63288081530322</v>
      </c>
      <c r="O1052" s="33">
        <v>495.94435874621865</v>
      </c>
      <c r="P1052" s="33">
        <v>430.68852206908463</v>
      </c>
      <c r="Q1052" s="33">
        <v>0</v>
      </c>
      <c r="T1052" s="33">
        <v>750344.74000000011</v>
      </c>
      <c r="U1052" s="32">
        <v>905</v>
      </c>
      <c r="W1052" s="32">
        <v>750344.74000000011</v>
      </c>
      <c r="X1052" s="32">
        <v>0</v>
      </c>
    </row>
    <row r="1053" spans="1:24" x14ac:dyDescent="0.2">
      <c r="A1053" s="32">
        <v>6</v>
      </c>
      <c r="B1053" s="32" t="s">
        <v>433</v>
      </c>
      <c r="D1053" s="33">
        <v>28131534.940000001</v>
      </c>
      <c r="F1053" s="33">
        <v>26615471.857769586</v>
      </c>
      <c r="H1053" s="33">
        <v>1481058.7706418892</v>
      </c>
      <c r="I1053" s="33">
        <v>35004.311588527205</v>
      </c>
      <c r="L1053" s="33">
        <v>263.47331303192527</v>
      </c>
      <c r="N1053" s="33">
        <v>34740.838275495284</v>
      </c>
      <c r="O1053" s="33">
        <v>18593.688091110154</v>
      </c>
      <c r="P1053" s="33">
        <v>16147.150184385131</v>
      </c>
      <c r="Q1053" s="33">
        <v>0</v>
      </c>
    </row>
    <row r="1054" spans="1:24" x14ac:dyDescent="0.2">
      <c r="F1054" s="33"/>
    </row>
    <row r="1055" spans="1:24" x14ac:dyDescent="0.2">
      <c r="B1055" s="32" t="s">
        <v>434</v>
      </c>
      <c r="F1055" s="33"/>
    </row>
    <row r="1056" spans="1:24" x14ac:dyDescent="0.2">
      <c r="A1056" s="32">
        <v>7</v>
      </c>
      <c r="B1056" s="32" t="s">
        <v>435</v>
      </c>
      <c r="C1056" s="32" t="s">
        <v>676</v>
      </c>
      <c r="D1056" s="33">
        <v>205691.01</v>
      </c>
      <c r="F1056" s="33">
        <v>205546.2311907371</v>
      </c>
      <c r="H1056" s="33">
        <v>144.75895138693093</v>
      </c>
      <c r="I1056" s="33">
        <v>1.9857875974749604E-2</v>
      </c>
      <c r="L1056" s="33">
        <v>1.9857875974749604E-2</v>
      </c>
      <c r="N1056" s="33">
        <v>0</v>
      </c>
      <c r="O1056" s="33">
        <v>0</v>
      </c>
      <c r="P1056" s="33">
        <v>0</v>
      </c>
      <c r="Q1056" s="33">
        <v>0</v>
      </c>
      <c r="T1056" s="33">
        <v>205691.01</v>
      </c>
      <c r="U1056" s="32">
        <v>907</v>
      </c>
      <c r="W1056" s="32">
        <v>205691.01</v>
      </c>
      <c r="X1056" s="32">
        <v>0</v>
      </c>
    </row>
    <row r="1057" spans="1:24" x14ac:dyDescent="0.2">
      <c r="A1057" s="32">
        <v>8</v>
      </c>
      <c r="B1057" s="32" t="s">
        <v>436</v>
      </c>
      <c r="C1057" s="32" t="s">
        <v>1827</v>
      </c>
      <c r="D1057" s="33">
        <v>13664342.49</v>
      </c>
      <c r="F1057" s="33">
        <v>13664342.49</v>
      </c>
      <c r="H1057" s="33">
        <v>0</v>
      </c>
      <c r="I1057" s="33">
        <v>0</v>
      </c>
      <c r="L1057" s="33">
        <v>0</v>
      </c>
      <c r="N1057" s="33">
        <v>0</v>
      </c>
      <c r="O1057" s="33">
        <v>0</v>
      </c>
      <c r="P1057" s="33">
        <v>0</v>
      </c>
      <c r="Q1057" s="33">
        <v>0</v>
      </c>
      <c r="T1057" s="33">
        <v>13664342.49</v>
      </c>
      <c r="U1057" s="32">
        <v>908</v>
      </c>
      <c r="W1057" s="32">
        <v>13664342.49</v>
      </c>
      <c r="X1057" s="32">
        <v>0</v>
      </c>
    </row>
    <row r="1058" spans="1:24" x14ac:dyDescent="0.2">
      <c r="A1058" s="32">
        <v>9</v>
      </c>
      <c r="B1058" s="32" t="s">
        <v>437</v>
      </c>
      <c r="C1058" s="32" t="s">
        <v>1829</v>
      </c>
      <c r="D1058" s="33">
        <v>157093.06</v>
      </c>
      <c r="F1058" s="33">
        <v>148605.20101992041</v>
      </c>
      <c r="H1058" s="33">
        <v>8486.6947844920214</v>
      </c>
      <c r="I1058" s="33">
        <v>1.1641955875704959</v>
      </c>
      <c r="L1058" s="33">
        <v>1.1641955875704959</v>
      </c>
      <c r="N1058" s="33">
        <v>0</v>
      </c>
      <c r="O1058" s="33">
        <v>0</v>
      </c>
      <c r="P1058" s="33">
        <v>0</v>
      </c>
      <c r="Q1058" s="33">
        <v>0</v>
      </c>
      <c r="T1058" s="33">
        <v>157093.06</v>
      </c>
      <c r="U1058" s="32">
        <v>909</v>
      </c>
      <c r="W1058" s="32">
        <v>157093.06</v>
      </c>
      <c r="X1058" s="32">
        <v>0</v>
      </c>
    </row>
    <row r="1059" spans="1:24" x14ac:dyDescent="0.2">
      <c r="A1059" s="32">
        <v>10</v>
      </c>
      <c r="B1059" s="32" t="s">
        <v>438</v>
      </c>
      <c r="C1059" s="32" t="s">
        <v>2468</v>
      </c>
      <c r="D1059" s="33">
        <v>417606.13999999996</v>
      </c>
      <c r="F1059" s="33">
        <v>417349.68458241964</v>
      </c>
      <c r="H1059" s="33">
        <v>256.42024212961331</v>
      </c>
      <c r="I1059" s="33">
        <v>3.517545075340215E-2</v>
      </c>
      <c r="L1059" s="33">
        <v>3.517545075340215E-2</v>
      </c>
      <c r="N1059" s="33">
        <v>0</v>
      </c>
      <c r="O1059" s="33">
        <v>0</v>
      </c>
      <c r="P1059" s="33">
        <v>0</v>
      </c>
      <c r="Q1059" s="33">
        <v>0</v>
      </c>
      <c r="T1059" s="33">
        <v>417606.14</v>
      </c>
      <c r="U1059" s="32">
        <v>910</v>
      </c>
      <c r="W1059" s="32">
        <v>417606.14</v>
      </c>
      <c r="X1059" s="32">
        <v>0</v>
      </c>
    </row>
    <row r="1060" spans="1:24" x14ac:dyDescent="0.2">
      <c r="A1060" s="32">
        <v>11</v>
      </c>
      <c r="B1060" s="32" t="s">
        <v>439</v>
      </c>
      <c r="D1060" s="33">
        <v>14444732.700000001</v>
      </c>
      <c r="F1060" s="33">
        <v>14435843.606793078</v>
      </c>
      <c r="H1060" s="33">
        <v>8887.8739780085671</v>
      </c>
      <c r="I1060" s="33">
        <v>1.2192289142986477</v>
      </c>
      <c r="L1060" s="33">
        <v>1.2192289142986477</v>
      </c>
      <c r="N1060" s="33">
        <v>0</v>
      </c>
      <c r="O1060" s="33">
        <v>0</v>
      </c>
      <c r="P1060" s="33">
        <v>0</v>
      </c>
      <c r="Q1060" s="33">
        <v>0</v>
      </c>
    </row>
    <row r="1061" spans="1:24" x14ac:dyDescent="0.2">
      <c r="F1061" s="33"/>
    </row>
    <row r="1062" spans="1:24" x14ac:dyDescent="0.2">
      <c r="B1062" s="32" t="s">
        <v>440</v>
      </c>
      <c r="F1062" s="33"/>
    </row>
    <row r="1063" spans="1:24" x14ac:dyDescent="0.2">
      <c r="A1063" s="32">
        <v>12</v>
      </c>
      <c r="B1063" s="32" t="s">
        <v>441</v>
      </c>
      <c r="C1063" s="32" t="s">
        <v>676</v>
      </c>
      <c r="D1063" s="33">
        <v>0</v>
      </c>
      <c r="F1063" s="33">
        <v>0</v>
      </c>
      <c r="H1063" s="33">
        <v>0</v>
      </c>
      <c r="I1063" s="33">
        <v>0</v>
      </c>
      <c r="L1063" s="33">
        <v>0</v>
      </c>
      <c r="N1063" s="33">
        <v>0</v>
      </c>
      <c r="O1063" s="33">
        <v>0</v>
      </c>
      <c r="P1063" s="33">
        <v>0</v>
      </c>
      <c r="Q1063" s="33">
        <v>0</v>
      </c>
      <c r="T1063" s="33">
        <v>0</v>
      </c>
      <c r="U1063" s="32">
        <v>911</v>
      </c>
      <c r="W1063" s="32">
        <v>0</v>
      </c>
      <c r="X1063" s="32">
        <v>0</v>
      </c>
    </row>
    <row r="1064" spans="1:24" x14ac:dyDescent="0.2">
      <c r="A1064" s="32">
        <v>13</v>
      </c>
      <c r="B1064" s="32" t="s">
        <v>442</v>
      </c>
      <c r="C1064" s="32" t="s">
        <v>1831</v>
      </c>
      <c r="D1064" s="33">
        <v>0</v>
      </c>
      <c r="F1064" s="33">
        <v>0</v>
      </c>
      <c r="H1064" s="33">
        <v>0</v>
      </c>
      <c r="I1064" s="33">
        <v>0</v>
      </c>
      <c r="L1064" s="33">
        <v>0</v>
      </c>
      <c r="N1064" s="33">
        <v>0</v>
      </c>
      <c r="O1064" s="33">
        <v>0</v>
      </c>
      <c r="P1064" s="33">
        <v>0</v>
      </c>
      <c r="Q1064" s="33">
        <v>0</v>
      </c>
      <c r="T1064" s="33">
        <v>0</v>
      </c>
      <c r="U1064" s="32">
        <v>912</v>
      </c>
      <c r="W1064" s="32">
        <v>0</v>
      </c>
      <c r="X1064" s="32">
        <v>0</v>
      </c>
    </row>
    <row r="1065" spans="1:24" x14ac:dyDescent="0.2">
      <c r="A1065" s="32">
        <v>14</v>
      </c>
      <c r="B1065" s="32" t="s">
        <v>443</v>
      </c>
      <c r="C1065" s="32" t="s">
        <v>1833</v>
      </c>
      <c r="D1065" s="33">
        <v>23966.440000000002</v>
      </c>
      <c r="F1065" s="33">
        <v>22671.514794681963</v>
      </c>
      <c r="H1065" s="33">
        <v>1294.7475932472189</v>
      </c>
      <c r="I1065" s="33">
        <v>0.17761207081823369</v>
      </c>
      <c r="L1065" s="33">
        <v>0.17761207081823369</v>
      </c>
      <c r="N1065" s="33">
        <v>0</v>
      </c>
      <c r="O1065" s="33">
        <v>0</v>
      </c>
      <c r="P1065" s="33">
        <v>0</v>
      </c>
      <c r="Q1065" s="33">
        <v>0</v>
      </c>
      <c r="T1065" s="33">
        <v>23966.44</v>
      </c>
      <c r="U1065" s="32">
        <v>913</v>
      </c>
      <c r="W1065" s="32">
        <v>23966.44</v>
      </c>
      <c r="X1065" s="32">
        <v>0</v>
      </c>
    </row>
    <row r="1066" spans="1:24" x14ac:dyDescent="0.2">
      <c r="A1066" s="32">
        <v>15</v>
      </c>
      <c r="B1066" s="32" t="s">
        <v>444</v>
      </c>
      <c r="C1066" s="32" t="s">
        <v>2469</v>
      </c>
      <c r="D1066" s="33">
        <v>0</v>
      </c>
      <c r="F1066" s="33">
        <v>0</v>
      </c>
      <c r="H1066" s="33">
        <v>0</v>
      </c>
      <c r="I1066" s="33">
        <v>0</v>
      </c>
      <c r="L1066" s="33">
        <v>0</v>
      </c>
      <c r="N1066" s="33">
        <v>0</v>
      </c>
      <c r="O1066" s="33">
        <v>0</v>
      </c>
      <c r="P1066" s="33">
        <v>0</v>
      </c>
      <c r="Q1066" s="33">
        <v>0</v>
      </c>
      <c r="T1066" s="33">
        <v>0</v>
      </c>
      <c r="U1066" s="32">
        <v>916</v>
      </c>
      <c r="W1066" s="32">
        <v>0</v>
      </c>
      <c r="X1066" s="32">
        <v>0</v>
      </c>
    </row>
    <row r="1067" spans="1:24" x14ac:dyDescent="0.2">
      <c r="A1067" s="32">
        <v>16</v>
      </c>
      <c r="B1067" s="32" t="s">
        <v>445</v>
      </c>
      <c r="D1067" s="33">
        <v>23966.440000000002</v>
      </c>
      <c r="F1067" s="33">
        <v>22671.514794681963</v>
      </c>
      <c r="H1067" s="33">
        <v>1294.7475932472189</v>
      </c>
      <c r="I1067" s="33">
        <v>0.17761207081823369</v>
      </c>
      <c r="L1067" s="33">
        <v>0.17761207081823369</v>
      </c>
      <c r="N1067" s="33">
        <v>0</v>
      </c>
      <c r="O1067" s="33">
        <v>0</v>
      </c>
      <c r="P1067" s="33">
        <v>0</v>
      </c>
      <c r="Q1067" s="33">
        <v>0</v>
      </c>
    </row>
    <row r="1068" spans="1:24" x14ac:dyDescent="0.2">
      <c r="F1068" s="33"/>
    </row>
    <row r="1069" spans="1:24" x14ac:dyDescent="0.2">
      <c r="B1069" s="32" t="s">
        <v>446</v>
      </c>
      <c r="F1069" s="33"/>
    </row>
    <row r="1070" spans="1:24" x14ac:dyDescent="0.2">
      <c r="F1070" s="33"/>
    </row>
    <row r="1071" spans="1:24" x14ac:dyDescent="0.2">
      <c r="B1071" s="32" t="s">
        <v>345</v>
      </c>
      <c r="F1071" s="33"/>
    </row>
    <row r="1072" spans="1:24" x14ac:dyDescent="0.2">
      <c r="A1072" s="32">
        <v>17</v>
      </c>
      <c r="B1072" s="32" t="s">
        <v>346</v>
      </c>
      <c r="C1072" s="32" t="s">
        <v>1762</v>
      </c>
      <c r="D1072" s="33">
        <v>4275705.3800000008</v>
      </c>
      <c r="F1072" s="33">
        <v>3722835.5001884843</v>
      </c>
      <c r="H1072" s="33">
        <v>253951.34050551642</v>
      </c>
      <c r="I1072" s="33">
        <v>298918.53930599947</v>
      </c>
      <c r="L1072" s="33">
        <v>134.82191001770289</v>
      </c>
      <c r="N1072" s="33">
        <v>298783.71739598177</v>
      </c>
      <c r="O1072" s="33">
        <v>94867.1733734062</v>
      </c>
      <c r="P1072" s="33">
        <v>203916.54402257557</v>
      </c>
      <c r="Q1072" s="33">
        <v>5.8274276356714427E-15</v>
      </c>
      <c r="T1072" s="33">
        <v>4275705.38</v>
      </c>
      <c r="U1072" s="32">
        <v>924</v>
      </c>
      <c r="W1072" s="32">
        <v>4275705.38</v>
      </c>
      <c r="X1072" s="32">
        <v>0</v>
      </c>
    </row>
    <row r="1073" spans="1:33" x14ac:dyDescent="0.2">
      <c r="A1073" s="32">
        <v>18</v>
      </c>
      <c r="B1073" s="32" t="s">
        <v>347</v>
      </c>
      <c r="D1073" s="33">
        <v>4275705.3800000008</v>
      </c>
      <c r="F1073" s="33">
        <v>3722835.5001884843</v>
      </c>
      <c r="H1073" s="33">
        <v>253951.34050551642</v>
      </c>
      <c r="I1073" s="33">
        <v>298918.53930599947</v>
      </c>
      <c r="L1073" s="33">
        <v>134.82191001770289</v>
      </c>
      <c r="N1073" s="33">
        <v>298783.71739598177</v>
      </c>
      <c r="O1073" s="33">
        <v>94867.1733734062</v>
      </c>
      <c r="P1073" s="33">
        <v>203916.54402257557</v>
      </c>
      <c r="Q1073" s="33">
        <v>5.8274276356714427E-15</v>
      </c>
    </row>
    <row r="1074" spans="1:33" x14ac:dyDescent="0.2">
      <c r="F1074" s="33"/>
    </row>
    <row r="1075" spans="1:33" x14ac:dyDescent="0.2">
      <c r="B1075" s="32" t="s">
        <v>348</v>
      </c>
      <c r="F1075" s="33"/>
    </row>
    <row r="1076" spans="1:33" x14ac:dyDescent="0.2">
      <c r="A1076" s="32">
        <v>19</v>
      </c>
      <c r="B1076" s="32" t="s">
        <v>349</v>
      </c>
      <c r="C1076" s="32" t="s">
        <v>1844</v>
      </c>
      <c r="D1076" s="33">
        <v>21838736.059999999</v>
      </c>
      <c r="F1076" s="33">
        <v>19422909.438914448</v>
      </c>
      <c r="H1076" s="33">
        <v>1196609.5577963081</v>
      </c>
      <c r="I1076" s="33">
        <v>1219217.063289243</v>
      </c>
      <c r="L1076" s="33">
        <v>670.4192955015302</v>
      </c>
      <c r="N1076" s="33">
        <v>1218546.6439937416</v>
      </c>
      <c r="O1076" s="33">
        <v>395860.18657766696</v>
      </c>
      <c r="P1076" s="33">
        <v>822686.4574160747</v>
      </c>
      <c r="Q1076" s="33">
        <v>1.3666265439980918E-12</v>
      </c>
      <c r="T1076" s="33">
        <v>21838736.060000002</v>
      </c>
      <c r="U1076" s="32">
        <v>920</v>
      </c>
      <c r="W1076" s="32">
        <v>21838736.060000002</v>
      </c>
      <c r="X1076" s="32">
        <v>0</v>
      </c>
    </row>
    <row r="1077" spans="1:33" x14ac:dyDescent="0.2">
      <c r="A1077" s="32">
        <v>20</v>
      </c>
      <c r="B1077" s="32" t="s">
        <v>350</v>
      </c>
      <c r="C1077" s="32" t="s">
        <v>1844</v>
      </c>
      <c r="D1077" s="33">
        <v>7450944.4299999997</v>
      </c>
      <c r="F1077" s="33">
        <v>6626712.2099315319</v>
      </c>
      <c r="H1077" s="33">
        <v>408259.49336315045</v>
      </c>
      <c r="I1077" s="33">
        <v>415972.72670531756</v>
      </c>
      <c r="L1077" s="33">
        <v>228.73379218731444</v>
      </c>
      <c r="N1077" s="33">
        <v>415743.99291313026</v>
      </c>
      <c r="O1077" s="33">
        <v>135059.65931984567</v>
      </c>
      <c r="P1077" s="33">
        <v>280684.33359328459</v>
      </c>
      <c r="Q1077" s="33">
        <v>4.6626592344523857E-13</v>
      </c>
      <c r="T1077" s="33">
        <v>7450944.4300000006</v>
      </c>
      <c r="U1077" s="32">
        <v>921</v>
      </c>
      <c r="W1077" s="32">
        <v>7450944.4300000006</v>
      </c>
      <c r="X1077" s="32">
        <v>0</v>
      </c>
    </row>
    <row r="1078" spans="1:33" x14ac:dyDescent="0.2">
      <c r="A1078" s="32">
        <v>21</v>
      </c>
      <c r="B1078" s="32" t="s">
        <v>351</v>
      </c>
      <c r="C1078" s="32" t="s">
        <v>1844</v>
      </c>
      <c r="D1078" s="33">
        <v>-2900745.46</v>
      </c>
      <c r="F1078" s="33">
        <v>-2579861.5918123894</v>
      </c>
      <c r="H1078" s="33">
        <v>-158940.50519379042</v>
      </c>
      <c r="I1078" s="33">
        <v>-161943.36299381993</v>
      </c>
      <c r="L1078" s="33">
        <v>-89.048913928879713</v>
      </c>
      <c r="N1078" s="33">
        <v>-161854.31407989105</v>
      </c>
      <c r="O1078" s="33">
        <v>-52580.407394232701</v>
      </c>
      <c r="P1078" s="33">
        <v>-109273.90668565834</v>
      </c>
      <c r="Q1078" s="33">
        <v>-1.8152313083168214E-13</v>
      </c>
      <c r="T1078" s="33">
        <v>-2900745.46</v>
      </c>
      <c r="U1078" s="32">
        <v>922</v>
      </c>
      <c r="W1078" s="32">
        <v>-2900745.46</v>
      </c>
      <c r="X1078" s="32">
        <v>0</v>
      </c>
    </row>
    <row r="1079" spans="1:33" x14ac:dyDescent="0.2">
      <c r="A1079" s="32">
        <v>22</v>
      </c>
      <c r="B1079" s="32" t="s">
        <v>352</v>
      </c>
      <c r="C1079" s="32" t="s">
        <v>1844</v>
      </c>
      <c r="D1079" s="33">
        <v>8857899.9399999995</v>
      </c>
      <c r="F1079" s="33">
        <v>7878028.6496848529</v>
      </c>
      <c r="H1079" s="33">
        <v>485350.78683520399</v>
      </c>
      <c r="I1079" s="33">
        <v>494520.50347994181</v>
      </c>
      <c r="L1079" s="33">
        <v>271.92539994449868</v>
      </c>
      <c r="N1079" s="33">
        <v>494248.57807999733</v>
      </c>
      <c r="O1079" s="33">
        <v>160562.86010788046</v>
      </c>
      <c r="P1079" s="33">
        <v>333685.71797211689</v>
      </c>
      <c r="Q1079" s="33">
        <v>5.5431052185549894E-13</v>
      </c>
      <c r="T1079" s="33">
        <v>8857899.9399999995</v>
      </c>
      <c r="U1079" s="32">
        <v>923</v>
      </c>
      <c r="W1079" s="32">
        <v>8857899.9399999995</v>
      </c>
      <c r="X1079" s="32">
        <v>0</v>
      </c>
      <c r="Y1079" s="32" t="s">
        <v>2632</v>
      </c>
    </row>
    <row r="1080" spans="1:33" x14ac:dyDescent="0.2">
      <c r="A1080" s="32">
        <v>23</v>
      </c>
      <c r="B1080" s="32" t="s">
        <v>353</v>
      </c>
      <c r="C1080" s="32" t="s">
        <v>1844</v>
      </c>
      <c r="D1080" s="33">
        <v>3560504.2</v>
      </c>
      <c r="F1080" s="33">
        <v>3166637.045453378</v>
      </c>
      <c r="H1080" s="33">
        <v>195090.65655578504</v>
      </c>
      <c r="I1080" s="33">
        <v>198776.49799083732</v>
      </c>
      <c r="L1080" s="33">
        <v>109.30260390693323</v>
      </c>
      <c r="N1080" s="33">
        <v>198667.1953869304</v>
      </c>
      <c r="O1080" s="33">
        <v>64539.534387438674</v>
      </c>
      <c r="P1080" s="33">
        <v>134127.66099949172</v>
      </c>
      <c r="Q1080" s="33">
        <v>2.2280957727444098E-13</v>
      </c>
      <c r="T1080" s="33">
        <v>3560504.2000000007</v>
      </c>
      <c r="U1080" s="32">
        <v>925</v>
      </c>
      <c r="W1080" s="32">
        <v>3560504.2000000007</v>
      </c>
      <c r="X1080" s="32">
        <v>0</v>
      </c>
      <c r="Y1080" s="32" t="s">
        <v>2633</v>
      </c>
      <c r="Z1080" s="32" t="s">
        <v>2634</v>
      </c>
      <c r="AA1080" s="32" t="s">
        <v>2635</v>
      </c>
      <c r="AB1080" s="32" t="s">
        <v>2636</v>
      </c>
      <c r="AC1080" s="32" t="s">
        <v>1655</v>
      </c>
      <c r="AD1080" s="32" t="s">
        <v>82</v>
      </c>
    </row>
    <row r="1081" spans="1:33" x14ac:dyDescent="0.2">
      <c r="A1081" s="32">
        <v>24</v>
      </c>
      <c r="B1081" s="32" t="s">
        <v>354</v>
      </c>
      <c r="C1081" s="32" t="s">
        <v>1844</v>
      </c>
      <c r="D1081" s="33">
        <v>39264089.249999993</v>
      </c>
      <c r="F1081" s="33">
        <v>35853084.162146352</v>
      </c>
      <c r="H1081" s="33">
        <v>2208842.2602096824</v>
      </c>
      <c r="I1081" s="33">
        <v>1202162.8276439609</v>
      </c>
      <c r="L1081" s="33">
        <v>1237.538562445495</v>
      </c>
      <c r="N1081" s="33">
        <v>1200925.2890815155</v>
      </c>
      <c r="O1081" s="33">
        <v>390135.66804759012</v>
      </c>
      <c r="P1081" s="33">
        <v>810789.62103392545</v>
      </c>
      <c r="Q1081" s="33">
        <v>1.3468638114978961E-12</v>
      </c>
      <c r="T1081" s="33">
        <v>21522926.959999997</v>
      </c>
      <c r="U1081" s="32">
        <v>926</v>
      </c>
      <c r="W1081" s="32">
        <v>39264089.25</v>
      </c>
      <c r="X1081" s="32">
        <v>17741162.289999995</v>
      </c>
      <c r="Y1081" s="32">
        <v>17741162.289999999</v>
      </c>
      <c r="Z1081" s="32">
        <v>16711048.649837945</v>
      </c>
      <c r="AA1081" s="32">
        <v>1029536.8259881455</v>
      </c>
      <c r="AB1081" s="32">
        <v>576.81417390896877</v>
      </c>
      <c r="AC1081" s="32">
        <v>0</v>
      </c>
      <c r="AD1081" s="32">
        <v>17741162.290000003</v>
      </c>
    </row>
    <row r="1082" spans="1:33" x14ac:dyDescent="0.2">
      <c r="A1082" s="32">
        <v>25</v>
      </c>
      <c r="B1082" s="32" t="s">
        <v>355</v>
      </c>
      <c r="C1082" s="32" t="s">
        <v>1233</v>
      </c>
      <c r="D1082" s="33">
        <v>0</v>
      </c>
      <c r="F1082" s="33">
        <v>0</v>
      </c>
      <c r="H1082" s="33">
        <v>0</v>
      </c>
      <c r="I1082" s="33">
        <v>0</v>
      </c>
      <c r="L1082" s="33">
        <v>0</v>
      </c>
      <c r="N1082" s="33">
        <v>0</v>
      </c>
      <c r="O1082" s="33">
        <v>0</v>
      </c>
      <c r="P1082" s="33">
        <v>0</v>
      </c>
      <c r="Q1082" s="33">
        <v>0</v>
      </c>
      <c r="Y1082" s="32" t="s">
        <v>2637</v>
      </c>
      <c r="Z1082" s="32">
        <v>0.94193651896512498</v>
      </c>
      <c r="AA1082" s="32">
        <v>5.8030968273620677E-2</v>
      </c>
      <c r="AB1082" s="32">
        <v>3.251276125432303E-5</v>
      </c>
    </row>
    <row r="1083" spans="1:33" x14ac:dyDescent="0.2">
      <c r="A1083" s="32">
        <v>26</v>
      </c>
      <c r="B1083" s="32" t="s">
        <v>356</v>
      </c>
      <c r="C1083" s="32" t="s">
        <v>1235</v>
      </c>
      <c r="D1083" s="33">
        <v>0</v>
      </c>
      <c r="F1083" s="33">
        <v>0</v>
      </c>
      <c r="H1083" s="33">
        <v>0</v>
      </c>
      <c r="I1083" s="33">
        <v>0</v>
      </c>
      <c r="L1083" s="33">
        <v>0</v>
      </c>
      <c r="N1083" s="33">
        <v>0</v>
      </c>
      <c r="O1083" s="33">
        <v>0</v>
      </c>
      <c r="P1083" s="33">
        <v>0</v>
      </c>
      <c r="Q1083" s="33">
        <v>0</v>
      </c>
      <c r="Y1083" s="32">
        <v>143851098.59342748</v>
      </c>
      <c r="Z1083" s="32">
        <v>135498603.05840206</v>
      </c>
      <c r="AA1083" s="32">
        <v>8347818.5386006702</v>
      </c>
      <c r="AB1083" s="32">
        <v>4676.9964247401913</v>
      </c>
    </row>
    <row r="1084" spans="1:33" x14ac:dyDescent="0.2">
      <c r="A1084" s="32">
        <v>27</v>
      </c>
      <c r="B1084" s="32" t="s">
        <v>357</v>
      </c>
      <c r="C1084" s="32" t="s">
        <v>1237</v>
      </c>
      <c r="D1084" s="33">
        <v>0</v>
      </c>
      <c r="F1084" s="33">
        <v>0</v>
      </c>
      <c r="H1084" s="33">
        <v>0</v>
      </c>
      <c r="I1084" s="33">
        <v>0</v>
      </c>
      <c r="L1084" s="33">
        <v>0</v>
      </c>
      <c r="N1084" s="33">
        <v>0</v>
      </c>
      <c r="O1084" s="33">
        <v>0</v>
      </c>
      <c r="P1084" s="33">
        <v>0</v>
      </c>
      <c r="Q1084" s="33">
        <v>0</v>
      </c>
    </row>
    <row r="1085" spans="1:33" x14ac:dyDescent="0.2">
      <c r="A1085" s="32">
        <v>28</v>
      </c>
      <c r="B1085" s="32" t="s">
        <v>358</v>
      </c>
      <c r="C1085" s="32" t="s">
        <v>73</v>
      </c>
      <c r="D1085" s="33">
        <v>0</v>
      </c>
      <c r="F1085" s="33">
        <v>0</v>
      </c>
      <c r="H1085" s="33">
        <v>0</v>
      </c>
      <c r="I1085" s="33">
        <v>0</v>
      </c>
      <c r="L1085" s="33">
        <v>0</v>
      </c>
      <c r="N1085" s="33">
        <v>0</v>
      </c>
      <c r="O1085" s="33">
        <v>0</v>
      </c>
      <c r="P1085" s="33">
        <v>0</v>
      </c>
      <c r="Q1085" s="33">
        <v>0</v>
      </c>
    </row>
    <row r="1086" spans="1:33" x14ac:dyDescent="0.2">
      <c r="A1086" s="32">
        <v>25</v>
      </c>
      <c r="B1086" s="32" t="s">
        <v>359</v>
      </c>
      <c r="C1086" s="32" t="s">
        <v>1148</v>
      </c>
      <c r="D1086" s="33">
        <v>-3751.98</v>
      </c>
      <c r="F1086" s="33">
        <v>0</v>
      </c>
      <c r="H1086" s="33">
        <v>-3751.98</v>
      </c>
      <c r="I1086" s="33">
        <v>0</v>
      </c>
      <c r="L1086" s="33">
        <v>0</v>
      </c>
      <c r="N1086" s="33">
        <v>0</v>
      </c>
      <c r="O1086" s="33">
        <v>0</v>
      </c>
      <c r="P1086" s="33">
        <v>0</v>
      </c>
      <c r="Q1086" s="33">
        <v>0</v>
      </c>
      <c r="T1086" s="33">
        <v>-3751.98</v>
      </c>
      <c r="U1086" s="32">
        <v>929</v>
      </c>
      <c r="W1086" s="32">
        <v>-3751.98</v>
      </c>
      <c r="X1086" s="32">
        <v>0</v>
      </c>
      <c r="Y1086" s="32" t="s">
        <v>360</v>
      </c>
      <c r="Z1086" s="32" t="s">
        <v>2237</v>
      </c>
      <c r="AA1086" s="32" t="s">
        <v>2238</v>
      </c>
      <c r="AB1086" s="32" t="s">
        <v>2239</v>
      </c>
      <c r="AC1086" s="32" t="s">
        <v>1173</v>
      </c>
      <c r="AD1086" s="32" t="s">
        <v>82</v>
      </c>
    </row>
    <row r="1087" spans="1:33" x14ac:dyDescent="0.2">
      <c r="A1087" s="32">
        <v>26</v>
      </c>
      <c r="B1087" s="32" t="s">
        <v>361</v>
      </c>
      <c r="C1087" s="32" t="s">
        <v>1844</v>
      </c>
      <c r="D1087" s="33">
        <v>2489746.9</v>
      </c>
      <c r="F1087" s="33">
        <v>2251157.3001724468</v>
      </c>
      <c r="H1087" s="33">
        <v>118178.42930141969</v>
      </c>
      <c r="I1087" s="33">
        <v>120411.17052613343</v>
      </c>
      <c r="L1087" s="33">
        <v>66.211320810143391</v>
      </c>
      <c r="N1087" s="33">
        <v>120344.95920532329</v>
      </c>
      <c r="O1087" s="33">
        <v>39095.571958216868</v>
      </c>
      <c r="P1087" s="33">
        <v>81249.387247106424</v>
      </c>
      <c r="Q1087" s="33">
        <v>1.3496948721415294E-13</v>
      </c>
      <c r="T1087" s="33">
        <v>2156816.7400000002</v>
      </c>
      <c r="U1087" s="32">
        <v>930.1</v>
      </c>
      <c r="V1087" s="32">
        <v>930.2</v>
      </c>
      <c r="W1087" s="32">
        <v>3886410.99</v>
      </c>
      <c r="X1087" s="32">
        <v>332930.15999999968</v>
      </c>
      <c r="Y1087" s="32">
        <v>3886410.99</v>
      </c>
      <c r="Z1087" s="32">
        <v>827233.97000000009</v>
      </c>
      <c r="AA1087" s="32">
        <v>569430.12</v>
      </c>
      <c r="AB1087" s="32">
        <v>2397103.9400000004</v>
      </c>
      <c r="AC1087" s="32">
        <v>92642.959999999963</v>
      </c>
      <c r="AD1087" s="32">
        <v>3886410.99</v>
      </c>
      <c r="AE1087" s="32" t="s">
        <v>2240</v>
      </c>
      <c r="AF1087" s="32" t="s">
        <v>2241</v>
      </c>
      <c r="AG1087" s="32">
        <v>793146.67</v>
      </c>
    </row>
    <row r="1088" spans="1:33" x14ac:dyDescent="0.2">
      <c r="A1088" s="32">
        <v>27</v>
      </c>
      <c r="B1088" s="32" t="s">
        <v>362</v>
      </c>
      <c r="C1088" s="32" t="s">
        <v>1844</v>
      </c>
      <c r="D1088" s="33">
        <v>2376357.73</v>
      </c>
      <c r="F1088" s="33">
        <v>2113482.2481230311</v>
      </c>
      <c r="H1088" s="33">
        <v>130207.73567887236</v>
      </c>
      <c r="I1088" s="33">
        <v>132667.74619809623</v>
      </c>
      <c r="L1088" s="33">
        <v>72.950928608192314</v>
      </c>
      <c r="N1088" s="33">
        <v>132594.79526948804</v>
      </c>
      <c r="O1088" s="33">
        <v>43075.085105135018</v>
      </c>
      <c r="P1088" s="33">
        <v>89519.710164353019</v>
      </c>
      <c r="Q1088" s="33">
        <v>1.4870794458665434E-13</v>
      </c>
      <c r="T1088" s="33">
        <v>2376357.73</v>
      </c>
      <c r="U1088" s="32">
        <v>931</v>
      </c>
      <c r="W1088" s="32">
        <v>2376357.73</v>
      </c>
      <c r="X1088" s="32">
        <v>0</v>
      </c>
      <c r="AE1088" s="32" t="s">
        <v>2242</v>
      </c>
      <c r="AF1088" s="32" t="s">
        <v>2243</v>
      </c>
      <c r="AG1088" s="32">
        <v>34087.300000000003</v>
      </c>
    </row>
    <row r="1089" spans="1:33" x14ac:dyDescent="0.2">
      <c r="A1089" s="32">
        <v>28</v>
      </c>
      <c r="B1089" s="32" t="s">
        <v>363</v>
      </c>
      <c r="C1089" s="32" t="s">
        <v>1844</v>
      </c>
      <c r="D1089" s="33">
        <v>13215869.399999999</v>
      </c>
      <c r="F1089" s="33">
        <v>11753914.411872817</v>
      </c>
      <c r="H1089" s="33">
        <v>724136.94616664352</v>
      </c>
      <c r="I1089" s="33">
        <v>737818.04196053685</v>
      </c>
      <c r="L1089" s="33">
        <v>405.70909544607719</v>
      </c>
      <c r="N1089" s="33">
        <v>737412.33286509081</v>
      </c>
      <c r="O1089" s="33">
        <v>239557.66085072959</v>
      </c>
      <c r="P1089" s="33">
        <v>497854.67201436119</v>
      </c>
      <c r="Q1089" s="33">
        <v>8.270239575418052E-13</v>
      </c>
      <c r="T1089" s="33">
        <v>13215869.399999999</v>
      </c>
      <c r="U1089" s="32">
        <v>935.3</v>
      </c>
      <c r="V1089" s="32">
        <v>935.4</v>
      </c>
      <c r="W1089" s="32">
        <v>13215869.399999999</v>
      </c>
      <c r="X1089" s="32">
        <v>0</v>
      </c>
      <c r="Y1089" s="32" t="s">
        <v>2638</v>
      </c>
    </row>
    <row r="1090" spans="1:33" x14ac:dyDescent="0.2">
      <c r="A1090" s="32">
        <v>29</v>
      </c>
      <c r="B1090" s="32" t="s">
        <v>364</v>
      </c>
      <c r="D1090" s="33">
        <v>96149650.469999984</v>
      </c>
      <c r="F1090" s="33">
        <v>86486063.874486461</v>
      </c>
      <c r="H1090" s="33">
        <v>5303983.3807132747</v>
      </c>
      <c r="I1090" s="33">
        <v>4359603.2148002479</v>
      </c>
      <c r="L1090" s="33">
        <v>2973.7420849213049</v>
      </c>
      <c r="N1090" s="33">
        <v>4356629.4727153266</v>
      </c>
      <c r="O1090" s="33">
        <v>1415305.8189602706</v>
      </c>
      <c r="P1090" s="33">
        <v>2941323.6537550557</v>
      </c>
      <c r="Q1090" s="33">
        <v>4.8860546365820965E-12</v>
      </c>
      <c r="Y1090" s="32">
        <v>332930.16000000003</v>
      </c>
      <c r="AE1090" s="32" t="s">
        <v>2244</v>
      </c>
      <c r="AF1090" s="32" t="s">
        <v>2245</v>
      </c>
      <c r="AG1090" s="32">
        <v>2500</v>
      </c>
    </row>
    <row r="1091" spans="1:33" x14ac:dyDescent="0.2">
      <c r="F1091" s="33"/>
      <c r="AE1091" s="32" t="s">
        <v>2639</v>
      </c>
      <c r="AF1091" s="32" t="s">
        <v>2640</v>
      </c>
      <c r="AG1091" s="32">
        <v>14534</v>
      </c>
    </row>
    <row r="1092" spans="1:33" x14ac:dyDescent="0.2">
      <c r="B1092" s="32" t="s">
        <v>365</v>
      </c>
      <c r="F1092" s="33"/>
      <c r="AE1092" s="32" t="s">
        <v>2641</v>
      </c>
      <c r="AF1092" s="32" t="s">
        <v>2642</v>
      </c>
      <c r="AG1092" s="32">
        <v>90142.96</v>
      </c>
    </row>
    <row r="1093" spans="1:33" x14ac:dyDescent="0.2">
      <c r="A1093" s="32">
        <v>30</v>
      </c>
      <c r="B1093" s="32" t="s">
        <v>366</v>
      </c>
      <c r="C1093" s="32" t="s">
        <v>2643</v>
      </c>
      <c r="D1093" s="33">
        <v>1093701.79</v>
      </c>
      <c r="F1093" s="33">
        <v>1093701.79</v>
      </c>
      <c r="H1093" s="33">
        <v>0</v>
      </c>
      <c r="I1093" s="33">
        <v>0</v>
      </c>
      <c r="L1093" s="33">
        <v>0</v>
      </c>
      <c r="N1093" s="33">
        <v>0</v>
      </c>
      <c r="O1093" s="33">
        <v>0</v>
      </c>
      <c r="P1093" s="33">
        <v>0</v>
      </c>
      <c r="Q1093" s="33">
        <v>0</v>
      </c>
      <c r="T1093" s="33">
        <v>1093701.79</v>
      </c>
      <c r="U1093" s="32">
        <v>0</v>
      </c>
      <c r="AE1093" s="32" t="s">
        <v>2250</v>
      </c>
      <c r="AF1093" s="32" t="s">
        <v>2251</v>
      </c>
    </row>
    <row r="1094" spans="1:33" x14ac:dyDescent="0.2">
      <c r="A1094" s="32">
        <v>31</v>
      </c>
      <c r="B1094" s="32" t="s">
        <v>367</v>
      </c>
      <c r="C1094" s="32" t="s">
        <v>1142</v>
      </c>
      <c r="D1094" s="33">
        <v>18039.57</v>
      </c>
      <c r="F1094" s="33">
        <v>0</v>
      </c>
      <c r="H1094" s="33">
        <v>0</v>
      </c>
      <c r="I1094" s="33">
        <v>18039.57</v>
      </c>
      <c r="L1094" s="33">
        <v>0</v>
      </c>
      <c r="N1094" s="33">
        <v>18039.57</v>
      </c>
      <c r="O1094" s="33">
        <v>5844.2308621858592</v>
      </c>
      <c r="P1094" s="33">
        <v>12195.33913781414</v>
      </c>
      <c r="Q1094" s="33">
        <v>0</v>
      </c>
      <c r="T1094" s="33">
        <v>18039.57</v>
      </c>
      <c r="AE1094" s="32" t="s">
        <v>2252</v>
      </c>
      <c r="AF1094" s="32" t="s">
        <v>2253</v>
      </c>
      <c r="AG1094" s="32">
        <v>569430.12</v>
      </c>
    </row>
    <row r="1095" spans="1:33" x14ac:dyDescent="0.2">
      <c r="A1095" s="32">
        <v>32</v>
      </c>
      <c r="B1095" s="32" t="s">
        <v>368</v>
      </c>
      <c r="C1095" s="32" t="s">
        <v>1144</v>
      </c>
      <c r="D1095" s="33">
        <v>225118.29</v>
      </c>
      <c r="F1095" s="33">
        <v>0</v>
      </c>
      <c r="H1095" s="33">
        <v>225118.29</v>
      </c>
      <c r="I1095" s="33">
        <v>0</v>
      </c>
      <c r="L1095" s="33">
        <v>0</v>
      </c>
      <c r="N1095" s="33">
        <v>0</v>
      </c>
      <c r="O1095" s="33">
        <v>0</v>
      </c>
      <c r="P1095" s="33">
        <v>0</v>
      </c>
      <c r="Q1095" s="33">
        <v>0</v>
      </c>
      <c r="T1095" s="33">
        <v>225118.29</v>
      </c>
      <c r="Y1095" s="32" t="s">
        <v>2246</v>
      </c>
      <c r="Z1095" s="32" t="s">
        <v>2247</v>
      </c>
      <c r="AA1095" s="32" t="s">
        <v>2248</v>
      </c>
      <c r="AB1095" s="32" t="s">
        <v>2249</v>
      </c>
      <c r="AC1095" s="32" t="s">
        <v>1655</v>
      </c>
      <c r="AD1095" s="32" t="s">
        <v>82</v>
      </c>
      <c r="AE1095" s="32" t="s">
        <v>2254</v>
      </c>
      <c r="AF1095" s="32" t="s">
        <v>2255</v>
      </c>
      <c r="AG1095" s="32">
        <v>1912838.1600000001</v>
      </c>
    </row>
    <row r="1096" spans="1:33" x14ac:dyDescent="0.2">
      <c r="A1096" s="32">
        <v>33</v>
      </c>
      <c r="B1096" s="32" t="s">
        <v>369</v>
      </c>
      <c r="C1096" s="32" t="s">
        <v>1795</v>
      </c>
      <c r="D1096" s="33">
        <v>463890.93999999994</v>
      </c>
      <c r="F1096" s="33">
        <v>402456.41479973914</v>
      </c>
      <c r="H1096" s="33">
        <v>21279.63304969337</v>
      </c>
      <c r="I1096" s="33">
        <v>40154.89215056743</v>
      </c>
      <c r="L1096" s="33">
        <v>2.2123505157083159</v>
      </c>
      <c r="N1096" s="33">
        <v>40152.679800051723</v>
      </c>
      <c r="O1096" s="33">
        <v>13107.704264684922</v>
      </c>
      <c r="P1096" s="33">
        <v>27044.975535366801</v>
      </c>
      <c r="Q1096" s="33">
        <v>0</v>
      </c>
      <c r="T1096" s="33">
        <v>463890.93999999994</v>
      </c>
      <c r="U1096" s="32">
        <v>928</v>
      </c>
      <c r="W1096" s="32">
        <v>463890.93999999971</v>
      </c>
      <c r="X1096" s="32">
        <v>0</v>
      </c>
      <c r="Y1096" s="32">
        <v>1800750.59</v>
      </c>
      <c r="Z1096" s="32">
        <v>1093701.79</v>
      </c>
      <c r="AA1096" s="32">
        <v>225118.29</v>
      </c>
      <c r="AB1096" s="32">
        <v>0</v>
      </c>
      <c r="AC1096" s="32">
        <v>18039.57</v>
      </c>
      <c r="AD1096" s="32">
        <v>1336859.6500000001</v>
      </c>
    </row>
    <row r="1097" spans="1:33" x14ac:dyDescent="0.2">
      <c r="A1097" s="32">
        <v>34</v>
      </c>
      <c r="B1097" s="32" t="s">
        <v>370</v>
      </c>
      <c r="D1097" s="33">
        <v>1800750.59</v>
      </c>
      <c r="F1097" s="33">
        <v>1496158.2047997392</v>
      </c>
      <c r="H1097" s="33">
        <v>246397.92304969337</v>
      </c>
      <c r="I1097" s="33">
        <v>58194.462150567429</v>
      </c>
      <c r="L1097" s="33">
        <v>2.2123505157083159</v>
      </c>
      <c r="N1097" s="33">
        <v>58192.249800051723</v>
      </c>
      <c r="O1097" s="33">
        <v>18951.935126870783</v>
      </c>
      <c r="P1097" s="33">
        <v>39240.314673180939</v>
      </c>
      <c r="Q1097" s="33">
        <v>0</v>
      </c>
      <c r="Y1097" s="32" t="s">
        <v>2644</v>
      </c>
      <c r="Z1097" s="32">
        <v>422178.91000000003</v>
      </c>
    </row>
    <row r="1098" spans="1:33" x14ac:dyDescent="0.2">
      <c r="F1098" s="33"/>
      <c r="Y1098" s="32" t="s">
        <v>2645</v>
      </c>
      <c r="Z1098" s="32">
        <v>671522.88</v>
      </c>
      <c r="AE1098" s="32" t="s">
        <v>2646</v>
      </c>
      <c r="AF1098" s="32" t="s">
        <v>2647</v>
      </c>
      <c r="AG1098" s="32">
        <v>136801.62</v>
      </c>
    </row>
    <row r="1099" spans="1:33" x14ac:dyDescent="0.2">
      <c r="A1099" s="32">
        <v>35</v>
      </c>
      <c r="B1099" s="32" t="s">
        <v>371</v>
      </c>
      <c r="C1099" s="32" t="s">
        <v>1148</v>
      </c>
      <c r="D1099" s="33">
        <v>3751.98</v>
      </c>
      <c r="F1099" s="33">
        <v>0</v>
      </c>
      <c r="H1099" s="33">
        <v>3751.98</v>
      </c>
      <c r="I1099" s="33">
        <v>0</v>
      </c>
      <c r="L1099" s="33">
        <v>0</v>
      </c>
      <c r="N1099" s="33">
        <v>0</v>
      </c>
      <c r="O1099" s="33">
        <v>0</v>
      </c>
      <c r="P1099" s="33">
        <v>0</v>
      </c>
      <c r="Q1099" s="33">
        <v>0</v>
      </c>
      <c r="T1099" s="33">
        <v>3751.98</v>
      </c>
      <c r="U1099" s="32">
        <v>927</v>
      </c>
      <c r="W1099" s="32">
        <v>3751.98</v>
      </c>
      <c r="X1099" s="32">
        <v>0</v>
      </c>
      <c r="AE1099" s="32" t="s">
        <v>2256</v>
      </c>
      <c r="AF1099" s="32" t="s">
        <v>2257</v>
      </c>
      <c r="AG1099" s="32">
        <v>332930.16000000003</v>
      </c>
    </row>
    <row r="1100" spans="1:33" x14ac:dyDescent="0.2">
      <c r="F1100" s="33"/>
    </row>
    <row r="1101" spans="1:33" x14ac:dyDescent="0.2">
      <c r="A1101" s="32">
        <v>36</v>
      </c>
      <c r="B1101" s="32" t="s">
        <v>2648</v>
      </c>
      <c r="C1101" s="32" t="s">
        <v>1798</v>
      </c>
      <c r="D1101" s="33">
        <v>1396664.09</v>
      </c>
      <c r="F1101" s="33">
        <v>1326517.9832373534</v>
      </c>
      <c r="H1101" s="33">
        <v>70138.814736388886</v>
      </c>
      <c r="I1101" s="33">
        <v>7.2920262577298507</v>
      </c>
      <c r="L1101" s="33">
        <v>7.2920262577298507</v>
      </c>
      <c r="N1101" s="33">
        <v>0</v>
      </c>
      <c r="O1101" s="33">
        <v>0</v>
      </c>
      <c r="P1101" s="33">
        <v>0</v>
      </c>
      <c r="Q1101" s="33">
        <v>0</v>
      </c>
      <c r="T1101" s="33">
        <v>1396664.09</v>
      </c>
      <c r="X1101" s="32">
        <v>0</v>
      </c>
    </row>
    <row r="1102" spans="1:33" x14ac:dyDescent="0.2">
      <c r="F1102" s="33"/>
    </row>
    <row r="1103" spans="1:33" x14ac:dyDescent="0.2">
      <c r="A1103" s="32">
        <v>37</v>
      </c>
      <c r="B1103" s="32" t="s">
        <v>372</v>
      </c>
      <c r="D1103" s="33">
        <v>103626522.50999999</v>
      </c>
      <c r="F1103" s="33">
        <v>93031575.562712044</v>
      </c>
      <c r="H1103" s="33">
        <v>5878223.4390048729</v>
      </c>
      <c r="I1103" s="33">
        <v>4716723.5082830722</v>
      </c>
      <c r="L1103" s="33">
        <v>3118.0683717124462</v>
      </c>
      <c r="N1103" s="33">
        <v>4713605.4399113599</v>
      </c>
      <c r="O1103" s="33">
        <v>1529124.9274605478</v>
      </c>
      <c r="P1103" s="33">
        <v>3184480.5124508124</v>
      </c>
      <c r="Q1103" s="33">
        <v>4.8918820642177681E-12</v>
      </c>
      <c r="W1103" s="32" t="s">
        <v>373</v>
      </c>
      <c r="X1103" s="32" t="s">
        <v>374</v>
      </c>
      <c r="Y1103" s="32" t="s">
        <v>375</v>
      </c>
      <c r="Z1103" s="32" t="s">
        <v>376</v>
      </c>
      <c r="AE1103" s="32" t="s">
        <v>2256</v>
      </c>
      <c r="AF1103" s="32" t="s">
        <v>2649</v>
      </c>
      <c r="AG1103" s="32">
        <v>102440.04000000001</v>
      </c>
    </row>
    <row r="1104" spans="1:33" x14ac:dyDescent="0.2">
      <c r="F1104" s="33"/>
      <c r="W1104" s="32">
        <v>516817356.17000002</v>
      </c>
      <c r="X1104" s="32">
        <v>103829269.81</v>
      </c>
      <c r="Y1104" s="32">
        <v>234009083.63999999</v>
      </c>
      <c r="Z1104" s="32">
        <v>126205679.78</v>
      </c>
      <c r="AA1104" s="32">
        <v>980861389.39999998</v>
      </c>
      <c r="AB1104" s="32">
        <v>0</v>
      </c>
      <c r="AE1104" s="32" t="s">
        <v>2256</v>
      </c>
      <c r="AF1104" s="32" t="s">
        <v>2650</v>
      </c>
      <c r="AG1104" s="32">
        <v>230490.12</v>
      </c>
    </row>
    <row r="1105" spans="1:22" x14ac:dyDescent="0.2">
      <c r="A1105" s="32">
        <v>38</v>
      </c>
      <c r="B1105" s="32" t="s">
        <v>340</v>
      </c>
      <c r="D1105" s="33">
        <v>980861389.39999998</v>
      </c>
      <c r="F1105" s="33">
        <v>858787982.80655313</v>
      </c>
      <c r="H1105" s="33">
        <v>49298743.593609117</v>
      </c>
      <c r="I1105" s="33">
        <v>72774662.999837756</v>
      </c>
      <c r="L1105" s="33">
        <v>14249.990768725833</v>
      </c>
      <c r="N1105" s="33">
        <v>72760413.009069026</v>
      </c>
      <c r="O1105" s="33">
        <v>23657671.477011081</v>
      </c>
      <c r="P1105" s="33">
        <v>49102741.532057948</v>
      </c>
      <c r="Q1105" s="33">
        <v>4.8918820642177681E-12</v>
      </c>
    </row>
    <row r="1106" spans="1:22" x14ac:dyDescent="0.2">
      <c r="B1106" s="32" t="s">
        <v>341</v>
      </c>
      <c r="D1106" s="33">
        <v>854655709.62000024</v>
      </c>
      <c r="F1106" s="33">
        <v>747989581.82507372</v>
      </c>
      <c r="H1106" s="33">
        <v>41842938.368849389</v>
      </c>
      <c r="L1106" s="33">
        <v>8847.6894795374883</v>
      </c>
      <c r="N1106" s="33">
        <v>64814341.736597374</v>
      </c>
    </row>
    <row r="1107" spans="1:22" x14ac:dyDescent="0.2">
      <c r="B1107" s="32" t="s">
        <v>342</v>
      </c>
      <c r="D1107" s="33">
        <v>126205679.77999997</v>
      </c>
      <c r="F1107" s="33">
        <v>110798400.98147942</v>
      </c>
      <c r="H1107" s="33">
        <v>7455805.2247597361</v>
      </c>
      <c r="L1107" s="33">
        <v>5402.3012891883454</v>
      </c>
      <c r="N1107" s="33">
        <v>7946071.2724716505</v>
      </c>
    </row>
    <row r="1108" spans="1:22" x14ac:dyDescent="0.2">
      <c r="B1108" s="32" t="s">
        <v>343</v>
      </c>
      <c r="D1108" s="33">
        <v>234009083.64000016</v>
      </c>
      <c r="F1108" s="33">
        <v>209555260.56796455</v>
      </c>
      <c r="H1108" s="33">
        <v>13329324.485836126</v>
      </c>
      <c r="L1108" s="33">
        <v>5862.5739644883333</v>
      </c>
      <c r="N1108" s="33">
        <v>11118636.012234889</v>
      </c>
    </row>
    <row r="1109" spans="1:22" x14ac:dyDescent="0.2">
      <c r="B1109" s="32" t="s">
        <v>1488</v>
      </c>
      <c r="F1109" s="33"/>
    </row>
    <row r="1110" spans="1:22" x14ac:dyDescent="0.2">
      <c r="F1110" s="33"/>
    </row>
    <row r="1111" spans="1:22" x14ac:dyDescent="0.2">
      <c r="B1111" s="32" t="s">
        <v>1489</v>
      </c>
      <c r="F1111" s="33"/>
    </row>
    <row r="1112" spans="1:22" x14ac:dyDescent="0.2">
      <c r="F1112" s="33"/>
    </row>
    <row r="1113" spans="1:22" x14ac:dyDescent="0.2">
      <c r="B1113" s="32" t="s">
        <v>9</v>
      </c>
      <c r="F1113" s="33"/>
      <c r="V1113" s="32" t="s">
        <v>2651</v>
      </c>
    </row>
    <row r="1114" spans="1:22" x14ac:dyDescent="0.2">
      <c r="B1114" s="32" t="s">
        <v>10</v>
      </c>
      <c r="F1114" s="33"/>
      <c r="V1114" s="32" t="s">
        <v>2652</v>
      </c>
    </row>
    <row r="1115" spans="1:22" x14ac:dyDescent="0.2">
      <c r="A1115" s="32">
        <v>1</v>
      </c>
      <c r="B1115" s="32" t="s">
        <v>11</v>
      </c>
      <c r="C1115" s="32" t="s">
        <v>1846</v>
      </c>
      <c r="D1115" s="33">
        <v>113654364.03</v>
      </c>
      <c r="F1115" s="33">
        <v>98366735.202722415</v>
      </c>
      <c r="H1115" s="33">
        <v>5776786.3598219603</v>
      </c>
      <c r="I1115" s="33">
        <v>9510842.4674556181</v>
      </c>
      <c r="L1115" s="33">
        <v>869.73597708852162</v>
      </c>
      <c r="N1115" s="33">
        <v>9509972.7314785291</v>
      </c>
      <c r="O1115" s="33">
        <v>2967352.7818309446</v>
      </c>
      <c r="P1115" s="33">
        <v>6542619.9496475849</v>
      </c>
      <c r="Q1115" s="33">
        <v>0</v>
      </c>
      <c r="T1115" s="33">
        <v>113654364.03</v>
      </c>
    </row>
    <row r="1116" spans="1:22" x14ac:dyDescent="0.2">
      <c r="A1116" s="32">
        <v>2</v>
      </c>
      <c r="B1116" s="32" t="s">
        <v>13</v>
      </c>
      <c r="C1116" s="32" t="s">
        <v>1676</v>
      </c>
      <c r="D1116" s="33">
        <v>422037.5</v>
      </c>
      <c r="F1116" s="33">
        <v>0</v>
      </c>
      <c r="H1116" s="33">
        <v>159485.76534582849</v>
      </c>
      <c r="I1116" s="33">
        <v>262551.73465417151</v>
      </c>
      <c r="L1116" s="33">
        <v>0</v>
      </c>
      <c r="N1116" s="33">
        <v>262551.73465417151</v>
      </c>
      <c r="O1116" s="33">
        <v>81922.802745983339</v>
      </c>
      <c r="P1116" s="33">
        <v>180628.93190818815</v>
      </c>
      <c r="Q1116" s="33">
        <v>0</v>
      </c>
      <c r="T1116" s="33">
        <v>422037.5</v>
      </c>
      <c r="V1116" s="32" t="s">
        <v>1490</v>
      </c>
    </row>
    <row r="1117" spans="1:22" x14ac:dyDescent="0.2">
      <c r="A1117" s="32">
        <v>3</v>
      </c>
      <c r="B1117" s="32" t="s">
        <v>14</v>
      </c>
      <c r="C1117" s="32" t="s">
        <v>1682</v>
      </c>
      <c r="D1117" s="33">
        <v>755124</v>
      </c>
      <c r="F1117" s="33">
        <v>0</v>
      </c>
      <c r="H1117" s="33">
        <v>0</v>
      </c>
      <c r="I1117" s="33">
        <v>755124</v>
      </c>
      <c r="L1117" s="33">
        <v>0</v>
      </c>
      <c r="N1117" s="33">
        <v>755124</v>
      </c>
      <c r="O1117" s="33">
        <v>235617.84721110787</v>
      </c>
      <c r="P1117" s="33">
        <v>519506.1527888921</v>
      </c>
      <c r="Q1117" s="33">
        <v>0</v>
      </c>
      <c r="T1117" s="33">
        <v>755124</v>
      </c>
      <c r="V1117" s="32" t="s">
        <v>1490</v>
      </c>
    </row>
    <row r="1118" spans="1:22" x14ac:dyDescent="0.2">
      <c r="A1118" s="32">
        <v>4</v>
      </c>
      <c r="B1118" s="32" t="s">
        <v>15</v>
      </c>
      <c r="D1118" s="33">
        <v>114831525.53</v>
      </c>
      <c r="F1118" s="33">
        <v>98366735.202722415</v>
      </c>
      <c r="H1118" s="33">
        <v>5936272.1251677889</v>
      </c>
      <c r="I1118" s="33">
        <v>10528518.202109791</v>
      </c>
      <c r="L1118" s="33">
        <v>869.73597708852162</v>
      </c>
      <c r="N1118" s="33">
        <v>10527648.466132702</v>
      </c>
      <c r="O1118" s="33">
        <v>3284893.4317880361</v>
      </c>
      <c r="P1118" s="33">
        <v>7242755.0343446657</v>
      </c>
      <c r="Q1118" s="33">
        <v>0</v>
      </c>
      <c r="T1118" s="33">
        <v>114831525.53</v>
      </c>
      <c r="V1118" s="32" t="s">
        <v>1491</v>
      </c>
    </row>
    <row r="1119" spans="1:22" x14ac:dyDescent="0.2">
      <c r="F1119" s="33"/>
    </row>
    <row r="1120" spans="1:22" x14ac:dyDescent="0.2">
      <c r="B1120" s="32" t="s">
        <v>16</v>
      </c>
      <c r="F1120" s="33"/>
    </row>
    <row r="1121" spans="1:22" x14ac:dyDescent="0.2">
      <c r="A1121" s="32">
        <v>5</v>
      </c>
      <c r="B1121" s="32" t="s">
        <v>11</v>
      </c>
      <c r="C1121" s="32" t="s">
        <v>1850</v>
      </c>
      <c r="D1121" s="33">
        <v>150127.51</v>
      </c>
      <c r="F1121" s="33">
        <v>129933.88462334844</v>
      </c>
      <c r="H1121" s="33">
        <v>7630.6313391812746</v>
      </c>
      <c r="I1121" s="33">
        <v>12562.994037470293</v>
      </c>
      <c r="L1121" s="33">
        <v>1.1488454289643595</v>
      </c>
      <c r="N1121" s="33">
        <v>12561.845192041328</v>
      </c>
      <c r="O1121" s="33">
        <v>3919.6144224630443</v>
      </c>
      <c r="P1121" s="33">
        <v>8642.2307695782838</v>
      </c>
      <c r="Q1121" s="33">
        <v>0</v>
      </c>
      <c r="T1121" s="33">
        <v>150127.51</v>
      </c>
    </row>
    <row r="1122" spans="1:22" x14ac:dyDescent="0.2">
      <c r="A1122" s="32">
        <v>6</v>
      </c>
      <c r="B1122" s="32" t="s">
        <v>13</v>
      </c>
      <c r="C1122" s="32" t="s">
        <v>1676</v>
      </c>
      <c r="D1122" s="33">
        <v>6</v>
      </c>
      <c r="F1122" s="33">
        <v>0</v>
      </c>
      <c r="H1122" s="33">
        <v>2.2673686392203796</v>
      </c>
      <c r="I1122" s="33">
        <v>3.73263136077962</v>
      </c>
      <c r="L1122" s="33">
        <v>0</v>
      </c>
      <c r="N1122" s="33">
        <v>3.73263136077962</v>
      </c>
      <c r="O1122" s="33">
        <v>1.1646756898993573</v>
      </c>
      <c r="P1122" s="33">
        <v>2.5679556708802629</v>
      </c>
      <c r="Q1122" s="33">
        <v>0</v>
      </c>
      <c r="T1122" s="33">
        <v>6</v>
      </c>
      <c r="V1122" s="32" t="s">
        <v>1490</v>
      </c>
    </row>
    <row r="1123" spans="1:22" x14ac:dyDescent="0.2">
      <c r="A1123" s="32">
        <v>7</v>
      </c>
      <c r="B1123" s="32" t="s">
        <v>14</v>
      </c>
      <c r="C1123" s="32" t="s">
        <v>1682</v>
      </c>
      <c r="D1123" s="33">
        <v>413.99999999999994</v>
      </c>
      <c r="F1123" s="33">
        <v>0</v>
      </c>
      <c r="H1123" s="33">
        <v>0</v>
      </c>
      <c r="I1123" s="33">
        <v>413.99999999999994</v>
      </c>
      <c r="L1123" s="33">
        <v>0</v>
      </c>
      <c r="N1123" s="33">
        <v>413.99999999999994</v>
      </c>
      <c r="O1123" s="33">
        <v>129.17850412038109</v>
      </c>
      <c r="P1123" s="33">
        <v>284.82149587961885</v>
      </c>
      <c r="Q1123" s="33">
        <v>0</v>
      </c>
      <c r="T1123" s="33">
        <v>414</v>
      </c>
      <c r="V1123" s="32" t="s">
        <v>1490</v>
      </c>
    </row>
    <row r="1124" spans="1:22" x14ac:dyDescent="0.2">
      <c r="A1124" s="32">
        <v>8</v>
      </c>
      <c r="B1124" s="32" t="s">
        <v>17</v>
      </c>
      <c r="D1124" s="33">
        <v>150547.51</v>
      </c>
      <c r="F1124" s="33">
        <v>129933.88462334844</v>
      </c>
      <c r="H1124" s="33">
        <v>7632.8987078204946</v>
      </c>
      <c r="I1124" s="33">
        <v>12980.726668831072</v>
      </c>
      <c r="L1124" s="33">
        <v>1.1488454289643595</v>
      </c>
      <c r="N1124" s="33">
        <v>12979.577823402107</v>
      </c>
      <c r="O1124" s="33">
        <v>4049.9576022733249</v>
      </c>
      <c r="P1124" s="33">
        <v>8929.6202211287818</v>
      </c>
      <c r="Q1124" s="33">
        <v>0</v>
      </c>
      <c r="T1124" s="33">
        <v>150547.51</v>
      </c>
      <c r="V1124" s="32" t="s">
        <v>1491</v>
      </c>
    </row>
    <row r="1125" spans="1:22" x14ac:dyDescent="0.2">
      <c r="F1125" s="33"/>
    </row>
    <row r="1126" spans="1:22" x14ac:dyDescent="0.2">
      <c r="B1126" s="32" t="s">
        <v>18</v>
      </c>
      <c r="F1126" s="33"/>
    </row>
    <row r="1127" spans="1:22" x14ac:dyDescent="0.2">
      <c r="A1127" s="32">
        <v>9</v>
      </c>
      <c r="B1127" s="32" t="s">
        <v>11</v>
      </c>
      <c r="C1127" s="32" t="s">
        <v>1852</v>
      </c>
      <c r="D1127" s="33">
        <v>17257381.289999999</v>
      </c>
      <c r="F1127" s="33">
        <v>14936093.920667784</v>
      </c>
      <c r="H1127" s="33">
        <v>877152.45862450229</v>
      </c>
      <c r="I1127" s="33">
        <v>1444134.9107077138</v>
      </c>
      <c r="L1127" s="33">
        <v>132.0614963300967</v>
      </c>
      <c r="N1127" s="33">
        <v>1444002.8492113836</v>
      </c>
      <c r="O1127" s="33">
        <v>450565.52658621926</v>
      </c>
      <c r="P1127" s="33">
        <v>993437.32262516429</v>
      </c>
      <c r="Q1127" s="33">
        <v>0</v>
      </c>
      <c r="T1127" s="33">
        <v>17257381.289999999</v>
      </c>
    </row>
    <row r="1128" spans="1:22" x14ac:dyDescent="0.2">
      <c r="A1128" s="32">
        <v>10</v>
      </c>
      <c r="B1128" s="32" t="s">
        <v>13</v>
      </c>
      <c r="C1128" s="32" t="s">
        <v>1676</v>
      </c>
      <c r="D1128" s="33">
        <v>59</v>
      </c>
      <c r="F1128" s="33">
        <v>0</v>
      </c>
      <c r="H1128" s="33">
        <v>22.295791619000401</v>
      </c>
      <c r="I1128" s="33">
        <v>36.704208380999603</v>
      </c>
      <c r="L1128" s="33">
        <v>0</v>
      </c>
      <c r="N1128" s="33">
        <v>36.704208380999603</v>
      </c>
      <c r="O1128" s="33">
        <v>11.452644284010347</v>
      </c>
      <c r="P1128" s="33">
        <v>25.251564096989252</v>
      </c>
      <c r="Q1128" s="33">
        <v>0</v>
      </c>
      <c r="T1128" s="33">
        <v>59</v>
      </c>
      <c r="V1128" s="32" t="s">
        <v>1490</v>
      </c>
    </row>
    <row r="1129" spans="1:22" x14ac:dyDescent="0.2">
      <c r="A1129" s="32">
        <v>11</v>
      </c>
      <c r="B1129" s="32" t="s">
        <v>14</v>
      </c>
      <c r="C1129" s="32" t="s">
        <v>1682</v>
      </c>
      <c r="D1129" s="33">
        <v>69979</v>
      </c>
      <c r="F1129" s="33">
        <v>0</v>
      </c>
      <c r="H1129" s="33">
        <v>0</v>
      </c>
      <c r="I1129" s="33">
        <v>69979</v>
      </c>
      <c r="L1129" s="33">
        <v>0</v>
      </c>
      <c r="N1129" s="33">
        <v>69979</v>
      </c>
      <c r="O1129" s="33">
        <v>21835.223526183934</v>
      </c>
      <c r="P1129" s="33">
        <v>48143.776473816062</v>
      </c>
      <c r="Q1129" s="33">
        <v>0</v>
      </c>
      <c r="T1129" s="33">
        <v>69979</v>
      </c>
      <c r="V1129" s="32" t="s">
        <v>1490</v>
      </c>
    </row>
    <row r="1130" spans="1:22" x14ac:dyDescent="0.2">
      <c r="A1130" s="32">
        <v>12</v>
      </c>
      <c r="B1130" s="32" t="s">
        <v>19</v>
      </c>
      <c r="D1130" s="33">
        <v>17327419.289999999</v>
      </c>
      <c r="F1130" s="33">
        <v>14936093.920667784</v>
      </c>
      <c r="H1130" s="33">
        <v>877174.75441612129</v>
      </c>
      <c r="I1130" s="33">
        <v>1514150.6149160948</v>
      </c>
      <c r="L1130" s="33">
        <v>132.0614963300967</v>
      </c>
      <c r="N1130" s="33">
        <v>1514018.5534197646</v>
      </c>
      <c r="O1130" s="33">
        <v>472412.20275668718</v>
      </c>
      <c r="P1130" s="33">
        <v>1041606.3506630773</v>
      </c>
      <c r="Q1130" s="33">
        <v>0</v>
      </c>
      <c r="T1130" s="33">
        <v>17327419.289999999</v>
      </c>
      <c r="V1130" s="32" t="s">
        <v>1491</v>
      </c>
    </row>
    <row r="1131" spans="1:22" x14ac:dyDescent="0.2">
      <c r="F1131" s="33"/>
    </row>
    <row r="1132" spans="1:22" x14ac:dyDescent="0.2">
      <c r="A1132" s="32">
        <v>13</v>
      </c>
      <c r="B1132" s="32" t="s">
        <v>20</v>
      </c>
      <c r="D1132" s="33">
        <v>132309492.33</v>
      </c>
      <c r="F1132" s="33">
        <v>113432763.00801355</v>
      </c>
      <c r="H1132" s="33">
        <v>6821079.7782917302</v>
      </c>
      <c r="I1132" s="33">
        <v>12055649.543694716</v>
      </c>
      <c r="L1132" s="33">
        <v>1002.9463188475827</v>
      </c>
      <c r="N1132" s="33">
        <v>12054646.597375868</v>
      </c>
      <c r="O1132" s="33">
        <v>3761355.5921469964</v>
      </c>
      <c r="P1132" s="33">
        <v>8293291.0052288715</v>
      </c>
      <c r="Q1132" s="33">
        <v>0</v>
      </c>
    </row>
    <row r="1133" spans="1:22" x14ac:dyDescent="0.2">
      <c r="F1133" s="33"/>
    </row>
    <row r="1134" spans="1:22" x14ac:dyDescent="0.2">
      <c r="B1134" s="32" t="s">
        <v>21</v>
      </c>
      <c r="F1134" s="33"/>
    </row>
    <row r="1135" spans="1:22" x14ac:dyDescent="0.2">
      <c r="A1135" s="32">
        <v>14</v>
      </c>
      <c r="B1135" s="32" t="s">
        <v>1362</v>
      </c>
      <c r="C1135" s="32" t="s">
        <v>1854</v>
      </c>
      <c r="D1135" s="33">
        <v>10659467.670000002</v>
      </c>
      <c r="F1135" s="33">
        <v>9156938.1887477003</v>
      </c>
      <c r="H1135" s="33">
        <v>558454.49687392567</v>
      </c>
      <c r="I1135" s="33">
        <v>944074.98437837441</v>
      </c>
      <c r="L1135" s="33">
        <v>80.963534738817515</v>
      </c>
      <c r="N1135" s="33">
        <v>943994.02084363555</v>
      </c>
      <c r="O1135" s="33">
        <v>294550.08577576012</v>
      </c>
      <c r="P1135" s="33">
        <v>649443.93506787543</v>
      </c>
      <c r="Q1135" s="33">
        <v>0</v>
      </c>
      <c r="T1135" s="33">
        <v>10659467.67</v>
      </c>
      <c r="V1135" s="32" t="s">
        <v>1492</v>
      </c>
    </row>
    <row r="1136" spans="1:22" x14ac:dyDescent="0.2">
      <c r="A1136" s="32">
        <v>15</v>
      </c>
      <c r="B1136" s="32" t="s">
        <v>1365</v>
      </c>
      <c r="C1136" s="32" t="s">
        <v>1759</v>
      </c>
      <c r="D1136" s="33">
        <v>937292.57</v>
      </c>
      <c r="F1136" s="33">
        <v>133400.89352070799</v>
      </c>
      <c r="H1136" s="33">
        <v>790912.88213294395</v>
      </c>
      <c r="I1136" s="33">
        <v>12978.794346347986</v>
      </c>
      <c r="L1136" s="33">
        <v>1.1794999217123932</v>
      </c>
      <c r="N1136" s="33">
        <v>12977.614846426273</v>
      </c>
      <c r="O1136" s="33">
        <v>4049.3451036516794</v>
      </c>
      <c r="P1136" s="33">
        <v>8928.2697427745934</v>
      </c>
      <c r="Q1136" s="33">
        <v>0</v>
      </c>
      <c r="T1136" s="33">
        <v>937292.57</v>
      </c>
      <c r="V1136" s="32" t="s">
        <v>1491</v>
      </c>
    </row>
    <row r="1137" spans="1:26" x14ac:dyDescent="0.2">
      <c r="A1137" s="32">
        <v>17</v>
      </c>
      <c r="B1137" s="32" t="s">
        <v>1353</v>
      </c>
      <c r="C1137" s="32" t="s">
        <v>1691</v>
      </c>
      <c r="D1137" s="33">
        <v>56872.999999999993</v>
      </c>
      <c r="F1137" s="33">
        <v>0</v>
      </c>
      <c r="H1137" s="33">
        <v>21492.009436396773</v>
      </c>
      <c r="I1137" s="33">
        <v>35380.99056360322</v>
      </c>
      <c r="L1137" s="33">
        <v>0</v>
      </c>
      <c r="N1137" s="33">
        <v>35380.99056360322</v>
      </c>
      <c r="O1137" s="33">
        <v>11039.766751941024</v>
      </c>
      <c r="P1137" s="33">
        <v>24341.223811662199</v>
      </c>
      <c r="Q1137" s="33">
        <v>0</v>
      </c>
      <c r="T1137" s="33">
        <v>56873</v>
      </c>
      <c r="V1137" s="32" t="s">
        <v>1490</v>
      </c>
    </row>
    <row r="1138" spans="1:26" x14ac:dyDescent="0.2">
      <c r="A1138" s="32">
        <v>18</v>
      </c>
      <c r="B1138" s="32" t="s">
        <v>1354</v>
      </c>
      <c r="C1138" s="32" t="s">
        <v>1693</v>
      </c>
      <c r="D1138" s="33">
        <v>25527.499999999996</v>
      </c>
      <c r="F1138" s="33">
        <v>0</v>
      </c>
      <c r="H1138" s="33">
        <v>0</v>
      </c>
      <c r="I1138" s="33">
        <v>25527.499999999996</v>
      </c>
      <c r="L1138" s="33">
        <v>0</v>
      </c>
      <c r="N1138" s="33">
        <v>25527.499999999996</v>
      </c>
      <c r="O1138" s="33">
        <v>7965.2276906594898</v>
      </c>
      <c r="P1138" s="33">
        <v>17562.272309340507</v>
      </c>
      <c r="Q1138" s="33">
        <v>0</v>
      </c>
      <c r="T1138" s="33">
        <v>25527.5</v>
      </c>
      <c r="V1138" s="32" t="s">
        <v>1490</v>
      </c>
    </row>
    <row r="1139" spans="1:26" x14ac:dyDescent="0.2">
      <c r="A1139" s="32">
        <v>19</v>
      </c>
      <c r="B1139" s="32" t="s">
        <v>22</v>
      </c>
      <c r="D1139" s="33">
        <v>11679160.74</v>
      </c>
      <c r="F1139" s="33">
        <v>9290339.0822684076</v>
      </c>
      <c r="H1139" s="33">
        <v>1370859.3884432665</v>
      </c>
      <c r="I1139" s="33">
        <v>1017962.2692883254</v>
      </c>
      <c r="L1139" s="33">
        <v>82.143034660529906</v>
      </c>
      <c r="N1139" s="33">
        <v>1017880.126253665</v>
      </c>
      <c r="O1139" s="33">
        <v>317604.42532201228</v>
      </c>
      <c r="P1139" s="33">
        <v>700275.70093165268</v>
      </c>
      <c r="Q1139" s="33">
        <v>0</v>
      </c>
      <c r="T1139" s="33">
        <v>11679160.74</v>
      </c>
      <c r="V1139" s="32" t="s">
        <v>1491</v>
      </c>
    </row>
    <row r="1140" spans="1:26" x14ac:dyDescent="0.2">
      <c r="F1140" s="33"/>
    </row>
    <row r="1141" spans="1:26" x14ac:dyDescent="0.2">
      <c r="B1141" s="32" t="s">
        <v>1035</v>
      </c>
      <c r="F1141" s="33"/>
    </row>
    <row r="1142" spans="1:26" x14ac:dyDescent="0.2">
      <c r="A1142" s="32">
        <v>20</v>
      </c>
      <c r="B1142" s="32" t="s">
        <v>2653</v>
      </c>
      <c r="C1142" s="32" t="s">
        <v>1218</v>
      </c>
      <c r="D1142" s="33">
        <v>32848142.370000005</v>
      </c>
      <c r="F1142" s="33">
        <v>32743234.033906706</v>
      </c>
      <c r="H1142" s="33">
        <v>0</v>
      </c>
      <c r="I1142" s="33">
        <v>104908.33609329831</v>
      </c>
      <c r="L1142" s="33">
        <v>0</v>
      </c>
      <c r="N1142" s="33">
        <v>104908.33609329831</v>
      </c>
      <c r="O1142" s="33">
        <v>90152.054576849579</v>
      </c>
      <c r="P1142" s="33">
        <v>14756.281516448727</v>
      </c>
      <c r="Q1142" s="33">
        <v>0</v>
      </c>
      <c r="T1142" s="33">
        <v>32848142.370000001</v>
      </c>
      <c r="V1142" s="32" t="s">
        <v>1491</v>
      </c>
    </row>
    <row r="1143" spans="1:26" x14ac:dyDescent="0.2">
      <c r="A1143" s="32">
        <v>21</v>
      </c>
      <c r="B1143" s="32" t="s">
        <v>2654</v>
      </c>
      <c r="C1143" s="32" t="s">
        <v>31</v>
      </c>
      <c r="D1143" s="33">
        <v>1439882.38</v>
      </c>
      <c r="F1143" s="33">
        <v>0</v>
      </c>
      <c r="H1143" s="33">
        <v>1439882.38</v>
      </c>
      <c r="I1143" s="33">
        <v>0</v>
      </c>
      <c r="L1143" s="33">
        <v>0</v>
      </c>
      <c r="N1143" s="33">
        <v>0</v>
      </c>
      <c r="O1143" s="33">
        <v>0</v>
      </c>
      <c r="P1143" s="33">
        <v>0</v>
      </c>
      <c r="Q1143" s="33">
        <v>0</v>
      </c>
      <c r="T1143" s="33">
        <v>1439882.38</v>
      </c>
      <c r="V1143" s="32" t="s">
        <v>1491</v>
      </c>
    </row>
    <row r="1144" spans="1:26" x14ac:dyDescent="0.2">
      <c r="A1144" s="32">
        <v>22</v>
      </c>
      <c r="B1144" s="32" t="s">
        <v>2655</v>
      </c>
      <c r="C1144" s="32" t="s">
        <v>33</v>
      </c>
      <c r="D1144" s="33">
        <v>2258.17</v>
      </c>
      <c r="F1144" s="33">
        <v>0</v>
      </c>
      <c r="H1144" s="33">
        <v>0</v>
      </c>
      <c r="I1144" s="33">
        <v>2258.17</v>
      </c>
      <c r="L1144" s="33">
        <v>2258.17</v>
      </c>
      <c r="N1144" s="33">
        <v>0</v>
      </c>
      <c r="O1144" s="33">
        <v>0</v>
      </c>
      <c r="P1144" s="33">
        <v>0</v>
      </c>
      <c r="Q1144" s="33">
        <v>0</v>
      </c>
      <c r="T1144" s="33">
        <v>2258.17</v>
      </c>
      <c r="V1144" s="32" t="s">
        <v>1491</v>
      </c>
    </row>
    <row r="1145" spans="1:26" x14ac:dyDescent="0.2">
      <c r="A1145" s="32">
        <v>23</v>
      </c>
      <c r="B1145" s="32" t="s">
        <v>23</v>
      </c>
      <c r="D1145" s="33">
        <v>34290282.920000009</v>
      </c>
      <c r="F1145" s="33">
        <v>32743234.033906706</v>
      </c>
      <c r="H1145" s="33">
        <v>1439882.38</v>
      </c>
      <c r="I1145" s="33">
        <v>107166.5060932983</v>
      </c>
      <c r="L1145" s="33">
        <v>2258.17</v>
      </c>
      <c r="N1145" s="33">
        <v>104908.33609329831</v>
      </c>
      <c r="O1145" s="33">
        <v>90152.054576849579</v>
      </c>
      <c r="P1145" s="33">
        <v>14756.281516448727</v>
      </c>
      <c r="Q1145" s="33">
        <v>0</v>
      </c>
      <c r="T1145" s="33">
        <v>34290282.920000002</v>
      </c>
      <c r="V1145" s="32" t="s">
        <v>1491</v>
      </c>
    </row>
    <row r="1146" spans="1:26" x14ac:dyDescent="0.2">
      <c r="F1146" s="33"/>
    </row>
    <row r="1147" spans="1:26" x14ac:dyDescent="0.2">
      <c r="A1147" s="32">
        <v>24</v>
      </c>
      <c r="B1147" s="32" t="s">
        <v>24</v>
      </c>
      <c r="C1147" s="32" t="s">
        <v>1864</v>
      </c>
      <c r="D1147" s="33">
        <v>6408657.6599999992</v>
      </c>
      <c r="F1147" s="33">
        <v>5699724.4260474555</v>
      </c>
      <c r="H1147" s="33">
        <v>351149.48903322767</v>
      </c>
      <c r="I1147" s="33">
        <v>357783.74491931632</v>
      </c>
      <c r="L1147" s="33">
        <v>196.73701544464225</v>
      </c>
      <c r="N1147" s="33">
        <v>357587.00790387165</v>
      </c>
      <c r="O1147" s="33">
        <v>116166.63208117895</v>
      </c>
      <c r="P1147" s="33">
        <v>241420.3758226927</v>
      </c>
      <c r="Q1147" s="33">
        <v>4.01041600827548E-13</v>
      </c>
      <c r="T1147" s="33">
        <v>6408657.6600000001</v>
      </c>
      <c r="V1147" s="32" t="s">
        <v>1491</v>
      </c>
    </row>
    <row r="1148" spans="1:26" x14ac:dyDescent="0.2">
      <c r="F1148" s="33"/>
    </row>
    <row r="1149" spans="1:26" x14ac:dyDescent="0.2">
      <c r="A1149" s="32">
        <v>25</v>
      </c>
      <c r="B1149" s="32" t="s">
        <v>26</v>
      </c>
      <c r="C1149" s="32" t="s">
        <v>2457</v>
      </c>
      <c r="D1149" s="33">
        <v>7505149.4400000013</v>
      </c>
      <c r="F1149" s="33">
        <v>6534688.0920223221</v>
      </c>
      <c r="H1149" s="33">
        <v>445764.85214159515</v>
      </c>
      <c r="I1149" s="33">
        <v>524696.49583608343</v>
      </c>
      <c r="L1149" s="33">
        <v>236.65505629880028</v>
      </c>
      <c r="N1149" s="33">
        <v>524459.8407797846</v>
      </c>
      <c r="O1149" s="33">
        <v>166521.86764483288</v>
      </c>
      <c r="P1149" s="33">
        <v>357937.97313495172</v>
      </c>
      <c r="Q1149" s="33">
        <v>1.0228976989095669E-14</v>
      </c>
      <c r="T1149" s="33">
        <v>7505149.4400000004</v>
      </c>
      <c r="V1149" s="32" t="s">
        <v>1491</v>
      </c>
    </row>
    <row r="1150" spans="1:26" x14ac:dyDescent="0.2">
      <c r="F1150" s="33"/>
    </row>
    <row r="1151" spans="1:26" x14ac:dyDescent="0.2">
      <c r="A1151" s="32">
        <v>26</v>
      </c>
      <c r="B1151" s="32" t="s">
        <v>25</v>
      </c>
      <c r="C1151" s="32" t="s">
        <v>2456</v>
      </c>
      <c r="D1151" s="33">
        <v>0</v>
      </c>
      <c r="F1151" s="33">
        <v>0</v>
      </c>
      <c r="H1151" s="33">
        <v>0</v>
      </c>
      <c r="I1151" s="33">
        <v>0</v>
      </c>
      <c r="L1151" s="33">
        <v>0</v>
      </c>
      <c r="N1151" s="33">
        <v>0</v>
      </c>
      <c r="O1151" s="33">
        <v>0</v>
      </c>
      <c r="P1151" s="33">
        <v>0</v>
      </c>
      <c r="Q1151" s="33">
        <v>0</v>
      </c>
      <c r="T1151" s="33">
        <v>0</v>
      </c>
      <c r="V1151" s="32" t="s">
        <v>1491</v>
      </c>
    </row>
    <row r="1152" spans="1:26" x14ac:dyDescent="0.2">
      <c r="F1152" s="33"/>
      <c r="Y1152" s="32" t="s">
        <v>1019</v>
      </c>
      <c r="Z1152" s="32" t="s">
        <v>1020</v>
      </c>
    </row>
    <row r="1153" spans="1:28" x14ac:dyDescent="0.2">
      <c r="A1153" s="32">
        <v>27</v>
      </c>
      <c r="B1153" s="32" t="s">
        <v>1021</v>
      </c>
      <c r="D1153" s="33">
        <v>192192743.09</v>
      </c>
      <c r="F1153" s="33">
        <v>167700748.64225844</v>
      </c>
      <c r="H1153" s="33">
        <v>10428735.887909818</v>
      </c>
      <c r="I1153" s="33">
        <v>14063258.55983174</v>
      </c>
      <c r="L1153" s="33">
        <v>3776.6514252515553</v>
      </c>
      <c r="N1153" s="33">
        <v>14059481.908406489</v>
      </c>
      <c r="O1153" s="33">
        <v>4451800.5717718694</v>
      </c>
      <c r="P1153" s="33">
        <v>9607681.3366346192</v>
      </c>
      <c r="Q1153" s="33">
        <v>1.0228976989095669E-14</v>
      </c>
      <c r="Y1153" s="32">
        <v>184687593.56</v>
      </c>
      <c r="Z1153" s="32">
        <v>7505149.4400000004</v>
      </c>
      <c r="AA1153" s="32">
        <v>192192743</v>
      </c>
      <c r="AB1153" s="32">
        <v>-9.0000003576278687E-2</v>
      </c>
    </row>
    <row r="1154" spans="1:28" x14ac:dyDescent="0.2">
      <c r="F1154" s="33"/>
    </row>
    <row r="1155" spans="1:28" x14ac:dyDescent="0.2">
      <c r="F1155" s="33"/>
    </row>
    <row r="1156" spans="1:28" x14ac:dyDescent="0.2">
      <c r="B1156" s="32" t="s">
        <v>1022</v>
      </c>
      <c r="F1156" s="33"/>
    </row>
    <row r="1157" spans="1:28" x14ac:dyDescent="0.2">
      <c r="F1157" s="33"/>
    </row>
    <row r="1158" spans="1:28" x14ac:dyDescent="0.2">
      <c r="B1158" s="32" t="s">
        <v>1023</v>
      </c>
      <c r="F1158" s="33"/>
    </row>
    <row r="1159" spans="1:28" x14ac:dyDescent="0.2">
      <c r="F1159" s="33"/>
    </row>
    <row r="1160" spans="1:28" x14ac:dyDescent="0.2">
      <c r="B1160" s="32" t="s">
        <v>9</v>
      </c>
      <c r="F1160" s="33"/>
      <c r="Y1160" s="32" t="s">
        <v>2656</v>
      </c>
      <c r="Z1160" s="32" t="s">
        <v>2657</v>
      </c>
    </row>
    <row r="1161" spans="1:28" x14ac:dyDescent="0.2">
      <c r="A1161" s="32">
        <v>1</v>
      </c>
      <c r="B1161" s="32" t="s">
        <v>10</v>
      </c>
      <c r="C1161" s="32" t="s">
        <v>1846</v>
      </c>
      <c r="D1161" s="33">
        <v>-5958724.4499999993</v>
      </c>
      <c r="F1161" s="33">
        <v>-5157217.45593879</v>
      </c>
      <c r="H1161" s="33">
        <v>-302868.07214557612</v>
      </c>
      <c r="I1161" s="33">
        <v>-498638.92191563314</v>
      </c>
      <c r="L1161" s="33">
        <v>-45.598926851185801</v>
      </c>
      <c r="N1161" s="33">
        <v>-498593.32298878196</v>
      </c>
      <c r="O1161" s="33">
        <v>-155573.76721763494</v>
      </c>
      <c r="P1161" s="33">
        <v>-343019.55577114702</v>
      </c>
      <c r="Q1161" s="33">
        <v>0</v>
      </c>
      <c r="T1161" s="33">
        <v>-5958724.4499999993</v>
      </c>
      <c r="V1161" s="32" t="s">
        <v>1024</v>
      </c>
      <c r="Y1161" s="32">
        <v>-2899712.88</v>
      </c>
      <c r="Z1161" s="32">
        <v>-3059011.57</v>
      </c>
    </row>
    <row r="1162" spans="1:28" x14ac:dyDescent="0.2">
      <c r="A1162" s="32">
        <v>2</v>
      </c>
      <c r="B1162" s="32" t="s">
        <v>16</v>
      </c>
      <c r="C1162" s="32" t="s">
        <v>1850</v>
      </c>
      <c r="D1162" s="33">
        <v>0</v>
      </c>
      <c r="F1162" s="33">
        <v>0</v>
      </c>
      <c r="H1162" s="33">
        <v>0</v>
      </c>
      <c r="I1162" s="33">
        <v>0</v>
      </c>
      <c r="L1162" s="33">
        <v>0</v>
      </c>
      <c r="N1162" s="33">
        <v>0</v>
      </c>
      <c r="O1162" s="33">
        <v>0</v>
      </c>
      <c r="P1162" s="33">
        <v>0</v>
      </c>
      <c r="Q1162" s="33">
        <v>0</v>
      </c>
    </row>
    <row r="1163" spans="1:28" x14ac:dyDescent="0.2">
      <c r="A1163" s="32">
        <v>3</v>
      </c>
      <c r="B1163" s="32" t="s">
        <v>18</v>
      </c>
      <c r="C1163" s="32" t="s">
        <v>1852</v>
      </c>
      <c r="D1163" s="33">
        <v>0</v>
      </c>
      <c r="F1163" s="33">
        <v>0</v>
      </c>
      <c r="H1163" s="33">
        <v>0</v>
      </c>
      <c r="I1163" s="33">
        <v>0</v>
      </c>
      <c r="L1163" s="33">
        <v>0</v>
      </c>
      <c r="N1163" s="33">
        <v>0</v>
      </c>
      <c r="O1163" s="33">
        <v>0</v>
      </c>
      <c r="P1163" s="33">
        <v>0</v>
      </c>
      <c r="Q1163" s="33">
        <v>0</v>
      </c>
    </row>
    <row r="1164" spans="1:28" x14ac:dyDescent="0.2">
      <c r="F1164" s="33"/>
    </row>
    <row r="1165" spans="1:28" x14ac:dyDescent="0.2">
      <c r="A1165" s="32">
        <v>4</v>
      </c>
      <c r="B1165" s="32" t="s">
        <v>20</v>
      </c>
      <c r="D1165" s="33">
        <v>-5958724.4499999993</v>
      </c>
      <c r="F1165" s="33">
        <v>-5157217.45593879</v>
      </c>
      <c r="H1165" s="33">
        <v>-302868.07214557612</v>
      </c>
      <c r="I1165" s="33">
        <v>-498638.92191563314</v>
      </c>
      <c r="L1165" s="33">
        <v>-45.598926851185801</v>
      </c>
      <c r="N1165" s="33">
        <v>-498593.32298878196</v>
      </c>
      <c r="O1165" s="33">
        <v>-155573.76721763494</v>
      </c>
      <c r="P1165" s="33">
        <v>-343019.55577114702</v>
      </c>
      <c r="Q1165" s="33">
        <v>0</v>
      </c>
    </row>
    <row r="1166" spans="1:28" x14ac:dyDescent="0.2">
      <c r="F1166" s="33"/>
    </row>
    <row r="1167" spans="1:28" x14ac:dyDescent="0.2">
      <c r="B1167" s="32" t="s">
        <v>21</v>
      </c>
      <c r="F1167" s="33"/>
    </row>
    <row r="1168" spans="1:28" x14ac:dyDescent="0.2">
      <c r="A1168" s="32">
        <v>5</v>
      </c>
      <c r="B1168" s="32" t="s">
        <v>1362</v>
      </c>
      <c r="C1168" s="32" t="s">
        <v>1854</v>
      </c>
      <c r="D1168" s="33">
        <v>-17452.169999999998</v>
      </c>
      <c r="F1168" s="33">
        <v>-14992.1597303852</v>
      </c>
      <c r="H1168" s="33">
        <v>-914.3273490230697</v>
      </c>
      <c r="I1168" s="33">
        <v>-1545.6829205917309</v>
      </c>
      <c r="L1168" s="33">
        <v>-0.13255721728388606</v>
      </c>
      <c r="N1168" s="33">
        <v>-1545.550363374447</v>
      </c>
      <c r="O1168" s="33">
        <v>-482.25092749618955</v>
      </c>
      <c r="P1168" s="33">
        <v>-1063.2994358782576</v>
      </c>
      <c r="Q1168" s="33">
        <v>0</v>
      </c>
      <c r="T1168" s="33">
        <v>-17452.169999999998</v>
      </c>
      <c r="V1168" s="32" t="s">
        <v>1024</v>
      </c>
      <c r="Y1168" s="32">
        <v>-11161.9</v>
      </c>
      <c r="Z1168" s="32">
        <v>-6290.27</v>
      </c>
    </row>
    <row r="1169" spans="1:26" x14ac:dyDescent="0.2">
      <c r="A1169" s="32">
        <v>6</v>
      </c>
      <c r="B1169" s="32" t="s">
        <v>1365</v>
      </c>
      <c r="C1169" s="32" t="s">
        <v>1759</v>
      </c>
      <c r="D1169" s="33">
        <v>0</v>
      </c>
      <c r="F1169" s="33">
        <v>0</v>
      </c>
      <c r="H1169" s="33">
        <v>0</v>
      </c>
      <c r="I1169" s="33">
        <v>0</v>
      </c>
      <c r="L1169" s="33">
        <v>0</v>
      </c>
      <c r="N1169" s="33">
        <v>0</v>
      </c>
      <c r="O1169" s="33">
        <v>0</v>
      </c>
      <c r="P1169" s="33">
        <v>0</v>
      </c>
      <c r="Q1169" s="33">
        <v>0</v>
      </c>
    </row>
    <row r="1170" spans="1:26" x14ac:dyDescent="0.2">
      <c r="F1170" s="33"/>
    </row>
    <row r="1171" spans="1:26" x14ac:dyDescent="0.2">
      <c r="A1171" s="32">
        <v>7</v>
      </c>
      <c r="B1171" s="32" t="s">
        <v>22</v>
      </c>
      <c r="D1171" s="33">
        <v>-17452.169999999998</v>
      </c>
      <c r="F1171" s="33">
        <v>-14992.1597303852</v>
      </c>
      <c r="H1171" s="33">
        <v>-914.3273490230697</v>
      </c>
      <c r="I1171" s="33">
        <v>-1545.6829205917309</v>
      </c>
      <c r="L1171" s="33">
        <v>-0.13255721728388606</v>
      </c>
      <c r="N1171" s="33">
        <v>-1545.550363374447</v>
      </c>
      <c r="O1171" s="33">
        <v>-482.25092749618955</v>
      </c>
      <c r="P1171" s="33">
        <v>-1063.2994358782576</v>
      </c>
      <c r="Q1171" s="33">
        <v>0</v>
      </c>
    </row>
    <row r="1172" spans="1:26" x14ac:dyDescent="0.2">
      <c r="F1172" s="33"/>
    </row>
    <row r="1173" spans="1:26" x14ac:dyDescent="0.2">
      <c r="B1173" s="32" t="s">
        <v>1035</v>
      </c>
      <c r="F1173" s="33"/>
    </row>
    <row r="1174" spans="1:26" x14ac:dyDescent="0.2">
      <c r="A1174" s="32">
        <v>8</v>
      </c>
      <c r="B1174" s="32" t="s">
        <v>1025</v>
      </c>
      <c r="C1174" s="32" t="s">
        <v>1218</v>
      </c>
      <c r="D1174" s="33">
        <v>-35677.80000000001</v>
      </c>
      <c r="F1174" s="33">
        <v>-35563.85448091069</v>
      </c>
      <c r="H1174" s="33">
        <v>0</v>
      </c>
      <c r="I1174" s="33">
        <v>-113.94551908931825</v>
      </c>
      <c r="L1174" s="33">
        <v>0</v>
      </c>
      <c r="N1174" s="33">
        <v>-113.94551908931825</v>
      </c>
      <c r="O1174" s="33">
        <v>-97.918078183911746</v>
      </c>
      <c r="P1174" s="33">
        <v>-16.0274409054065</v>
      </c>
      <c r="Q1174" s="33">
        <v>0</v>
      </c>
      <c r="T1174" s="33">
        <v>-35677.800000000003</v>
      </c>
      <c r="V1174" s="32" t="s">
        <v>1024</v>
      </c>
      <c r="Y1174" s="32">
        <v>-23233.87</v>
      </c>
      <c r="Z1174" s="32">
        <v>-12443.93</v>
      </c>
    </row>
    <row r="1175" spans="1:26" x14ac:dyDescent="0.2">
      <c r="A1175" s="32">
        <v>9</v>
      </c>
      <c r="B1175" s="32" t="s">
        <v>1026</v>
      </c>
      <c r="C1175" s="32" t="s">
        <v>31</v>
      </c>
      <c r="D1175" s="33">
        <v>0</v>
      </c>
      <c r="F1175" s="33">
        <v>0</v>
      </c>
      <c r="H1175" s="33">
        <v>0</v>
      </c>
      <c r="I1175" s="33">
        <v>0</v>
      </c>
      <c r="L1175" s="33">
        <v>0</v>
      </c>
      <c r="N1175" s="33">
        <v>0</v>
      </c>
      <c r="O1175" s="33">
        <v>0</v>
      </c>
      <c r="P1175" s="33">
        <v>0</v>
      </c>
      <c r="Q1175" s="33">
        <v>0</v>
      </c>
    </row>
    <row r="1176" spans="1:26" x14ac:dyDescent="0.2">
      <c r="F1176" s="33"/>
    </row>
    <row r="1177" spans="1:26" x14ac:dyDescent="0.2">
      <c r="A1177" s="32">
        <v>10</v>
      </c>
      <c r="B1177" s="32" t="s">
        <v>23</v>
      </c>
      <c r="D1177" s="33">
        <v>-35677.80000000001</v>
      </c>
      <c r="F1177" s="33">
        <v>-35563.85448091069</v>
      </c>
      <c r="H1177" s="33">
        <v>0</v>
      </c>
      <c r="I1177" s="33">
        <v>-113.94551908931825</v>
      </c>
      <c r="L1177" s="33">
        <v>0</v>
      </c>
      <c r="N1177" s="33">
        <v>-113.94551908931825</v>
      </c>
      <c r="O1177" s="33">
        <v>-97.918078183911746</v>
      </c>
      <c r="P1177" s="33">
        <v>-16.0274409054065</v>
      </c>
      <c r="Q1177" s="33">
        <v>0</v>
      </c>
    </row>
    <row r="1178" spans="1:26" x14ac:dyDescent="0.2">
      <c r="F1178" s="33"/>
    </row>
    <row r="1179" spans="1:26" x14ac:dyDescent="0.2">
      <c r="A1179" s="32">
        <v>11</v>
      </c>
      <c r="B1179" s="32" t="s">
        <v>1027</v>
      </c>
      <c r="D1179" s="33">
        <v>-6011854.4199999999</v>
      </c>
      <c r="F1179" s="33">
        <v>-5207773.4701500861</v>
      </c>
      <c r="H1179" s="33">
        <v>-303782.3994945992</v>
      </c>
      <c r="I1179" s="33">
        <v>-500298.55035531416</v>
      </c>
      <c r="L1179" s="33">
        <v>-45.73148406846969</v>
      </c>
      <c r="N1179" s="33">
        <v>-500252.81887124572</v>
      </c>
      <c r="O1179" s="33">
        <v>-156153.93622331505</v>
      </c>
      <c r="P1179" s="33">
        <v>-344098.8826479307</v>
      </c>
      <c r="Q1179" s="33">
        <v>0</v>
      </c>
    </row>
    <row r="1180" spans="1:26" x14ac:dyDescent="0.2">
      <c r="F1180" s="33"/>
    </row>
    <row r="1181" spans="1:26" x14ac:dyDescent="0.2">
      <c r="B1181" s="32" t="s">
        <v>1028</v>
      </c>
      <c r="F1181" s="33"/>
    </row>
    <row r="1182" spans="1:26" x14ac:dyDescent="0.2">
      <c r="F1182" s="33"/>
    </row>
    <row r="1183" spans="1:26" x14ac:dyDescent="0.2">
      <c r="B1183" s="32" t="s">
        <v>9</v>
      </c>
      <c r="F1183" s="33"/>
    </row>
    <row r="1184" spans="1:26" x14ac:dyDescent="0.2">
      <c r="A1184" s="32">
        <v>12</v>
      </c>
      <c r="B1184" s="32" t="s">
        <v>10</v>
      </c>
      <c r="C1184" s="32" t="s">
        <v>1846</v>
      </c>
      <c r="D1184" s="33">
        <v>2899712.8799999994</v>
      </c>
      <c r="F1184" s="33">
        <v>2509673.0025746603</v>
      </c>
      <c r="H1184" s="33">
        <v>147385.64555394003</v>
      </c>
      <c r="I1184" s="33">
        <v>242654.23187139924</v>
      </c>
      <c r="L1184" s="33">
        <v>22.189949646784108</v>
      </c>
      <c r="N1184" s="33">
        <v>242632.04192175245</v>
      </c>
      <c r="O1184" s="33">
        <v>75707.353205617328</v>
      </c>
      <c r="P1184" s="33">
        <v>166924.6887161351</v>
      </c>
      <c r="Q1184" s="33">
        <v>0</v>
      </c>
      <c r="T1184" s="33">
        <v>2899712.88</v>
      </c>
      <c r="V1184" s="32" t="s">
        <v>2258</v>
      </c>
    </row>
    <row r="1185" spans="1:26" x14ac:dyDescent="0.2">
      <c r="A1185" s="32">
        <v>13</v>
      </c>
      <c r="B1185" s="32" t="s">
        <v>16</v>
      </c>
      <c r="C1185" s="32" t="s">
        <v>1850</v>
      </c>
      <c r="D1185" s="33">
        <v>0</v>
      </c>
      <c r="F1185" s="33">
        <v>0</v>
      </c>
      <c r="H1185" s="33">
        <v>0</v>
      </c>
      <c r="I1185" s="33">
        <v>0</v>
      </c>
      <c r="L1185" s="33">
        <v>0</v>
      </c>
      <c r="N1185" s="33">
        <v>0</v>
      </c>
      <c r="O1185" s="33">
        <v>0</v>
      </c>
      <c r="P1185" s="33">
        <v>0</v>
      </c>
      <c r="Q1185" s="33">
        <v>0</v>
      </c>
    </row>
    <row r="1186" spans="1:26" x14ac:dyDescent="0.2">
      <c r="A1186" s="32">
        <v>14</v>
      </c>
      <c r="B1186" s="32" t="s">
        <v>18</v>
      </c>
      <c r="C1186" s="32" t="s">
        <v>1852</v>
      </c>
      <c r="D1186" s="33">
        <v>0</v>
      </c>
      <c r="E1186" s="33"/>
      <c r="F1186" s="33">
        <v>0</v>
      </c>
      <c r="G1186" s="33"/>
      <c r="H1186" s="33">
        <v>0</v>
      </c>
      <c r="I1186" s="33">
        <v>0</v>
      </c>
      <c r="L1186" s="33">
        <v>0</v>
      </c>
      <c r="N1186" s="33">
        <v>0</v>
      </c>
      <c r="O1186" s="33">
        <v>0</v>
      </c>
      <c r="P1186" s="33">
        <v>0</v>
      </c>
      <c r="Q1186" s="33">
        <v>0</v>
      </c>
    </row>
    <row r="1187" spans="1:26" x14ac:dyDescent="0.2">
      <c r="F1187" s="33"/>
    </row>
    <row r="1188" spans="1:26" x14ac:dyDescent="0.2">
      <c r="A1188" s="32">
        <v>15</v>
      </c>
      <c r="B1188" s="32" t="s">
        <v>20</v>
      </c>
      <c r="D1188" s="33">
        <v>2899712.8799999994</v>
      </c>
      <c r="F1188" s="33">
        <v>2509673.0025746603</v>
      </c>
      <c r="H1188" s="33">
        <v>147385.64555394003</v>
      </c>
      <c r="I1188" s="33">
        <v>242654.23187139924</v>
      </c>
      <c r="L1188" s="33">
        <v>22.189949646784108</v>
      </c>
      <c r="N1188" s="33">
        <v>242632.04192175245</v>
      </c>
      <c r="O1188" s="33">
        <v>75707.353205617328</v>
      </c>
      <c r="P1188" s="33">
        <v>166924.6887161351</v>
      </c>
      <c r="Q1188" s="33">
        <v>0</v>
      </c>
    </row>
    <row r="1189" spans="1:26" x14ac:dyDescent="0.2">
      <c r="F1189" s="33"/>
    </row>
    <row r="1190" spans="1:26" x14ac:dyDescent="0.2">
      <c r="B1190" s="32" t="s">
        <v>21</v>
      </c>
      <c r="F1190" s="33"/>
    </row>
    <row r="1191" spans="1:26" x14ac:dyDescent="0.2">
      <c r="A1191" s="32">
        <v>16</v>
      </c>
      <c r="B1191" s="32" t="s">
        <v>1362</v>
      </c>
      <c r="C1191" s="32" t="s">
        <v>1854</v>
      </c>
      <c r="D1191" s="33">
        <v>11161.900000000001</v>
      </c>
      <c r="F1191" s="33">
        <v>9588.5490282633382</v>
      </c>
      <c r="H1191" s="33">
        <v>584.77716164010565</v>
      </c>
      <c r="I1191" s="33">
        <v>988.57381009655785</v>
      </c>
      <c r="L1191" s="33">
        <v>8.4779738198803231E-2</v>
      </c>
      <c r="N1191" s="33">
        <v>988.48903035835906</v>
      </c>
      <c r="O1191" s="33">
        <v>308.43365768381346</v>
      </c>
      <c r="P1191" s="33">
        <v>680.05537267454554</v>
      </c>
      <c r="Q1191" s="33">
        <v>0</v>
      </c>
      <c r="T1191" s="33">
        <v>11161.9</v>
      </c>
      <c r="V1191" s="32" t="s">
        <v>2258</v>
      </c>
    </row>
    <row r="1192" spans="1:26" x14ac:dyDescent="0.2">
      <c r="A1192" s="32">
        <v>17</v>
      </c>
      <c r="B1192" s="32" t="s">
        <v>1365</v>
      </c>
      <c r="C1192" s="32" t="s">
        <v>1759</v>
      </c>
      <c r="D1192" s="33">
        <v>0</v>
      </c>
      <c r="F1192" s="33">
        <v>0</v>
      </c>
      <c r="H1192" s="33">
        <v>0</v>
      </c>
      <c r="I1192" s="33">
        <v>0</v>
      </c>
      <c r="L1192" s="33">
        <v>0</v>
      </c>
      <c r="N1192" s="33">
        <v>0</v>
      </c>
      <c r="O1192" s="33">
        <v>0</v>
      </c>
      <c r="P1192" s="33">
        <v>0</v>
      </c>
      <c r="Q1192" s="33">
        <v>0</v>
      </c>
    </row>
    <row r="1193" spans="1:26" x14ac:dyDescent="0.2">
      <c r="F1193" s="33"/>
    </row>
    <row r="1194" spans="1:26" x14ac:dyDescent="0.2">
      <c r="A1194" s="32">
        <v>18</v>
      </c>
      <c r="B1194" s="32" t="s">
        <v>22</v>
      </c>
      <c r="D1194" s="33">
        <v>11161.900000000001</v>
      </c>
      <c r="F1194" s="33">
        <v>9588.5490282633382</v>
      </c>
      <c r="H1194" s="33">
        <v>584.77716164010565</v>
      </c>
      <c r="I1194" s="33">
        <v>988.57381009655785</v>
      </c>
      <c r="L1194" s="33">
        <v>8.4779738198803231E-2</v>
      </c>
      <c r="N1194" s="33">
        <v>988.48903035835906</v>
      </c>
      <c r="O1194" s="33">
        <v>308.43365768381346</v>
      </c>
      <c r="P1194" s="33">
        <v>680.05537267454554</v>
      </c>
      <c r="Q1194" s="33">
        <v>0</v>
      </c>
    </row>
    <row r="1195" spans="1:26" x14ac:dyDescent="0.2">
      <c r="F1195" s="33"/>
    </row>
    <row r="1196" spans="1:26" x14ac:dyDescent="0.2">
      <c r="B1196" s="32" t="s">
        <v>1367</v>
      </c>
      <c r="F1196" s="33"/>
    </row>
    <row r="1197" spans="1:26" x14ac:dyDescent="0.2">
      <c r="A1197" s="32">
        <v>19</v>
      </c>
      <c r="B1197" s="32" t="s">
        <v>1362</v>
      </c>
      <c r="C1197" s="32" t="s">
        <v>1218</v>
      </c>
      <c r="D1197" s="33">
        <v>23233.87</v>
      </c>
      <c r="F1197" s="33">
        <v>23159.667123768737</v>
      </c>
      <c r="H1197" s="33">
        <v>0</v>
      </c>
      <c r="I1197" s="33">
        <v>74.202876231262536</v>
      </c>
      <c r="L1197" s="33">
        <v>0</v>
      </c>
      <c r="N1197" s="33">
        <v>74.202876231262536</v>
      </c>
      <c r="O1197" s="33">
        <v>63.76558810170026</v>
      </c>
      <c r="P1197" s="33">
        <v>10.437288129562274</v>
      </c>
      <c r="Q1197" s="33">
        <v>0</v>
      </c>
      <c r="T1197" s="33">
        <v>23233.87</v>
      </c>
      <c r="V1197" s="32" t="s">
        <v>2258</v>
      </c>
    </row>
    <row r="1198" spans="1:26" x14ac:dyDescent="0.2">
      <c r="A1198" s="32">
        <v>20</v>
      </c>
      <c r="B1198" s="32" t="s">
        <v>1365</v>
      </c>
      <c r="C1198" s="32" t="s">
        <v>1231</v>
      </c>
      <c r="D1198" s="33">
        <v>0</v>
      </c>
      <c r="F1198" s="33">
        <v>0</v>
      </c>
      <c r="H1198" s="33">
        <v>0</v>
      </c>
      <c r="I1198" s="33">
        <v>0</v>
      </c>
      <c r="L1198" s="33">
        <v>0</v>
      </c>
      <c r="N1198" s="33">
        <v>0</v>
      </c>
      <c r="O1198" s="33">
        <v>0</v>
      </c>
      <c r="P1198" s="33">
        <v>0</v>
      </c>
      <c r="Q1198" s="33">
        <v>0</v>
      </c>
    </row>
    <row r="1199" spans="1:26" x14ac:dyDescent="0.2">
      <c r="F1199" s="33"/>
      <c r="W1199" s="32" t="s">
        <v>1029</v>
      </c>
      <c r="X1199" s="32" t="s">
        <v>1030</v>
      </c>
    </row>
    <row r="1200" spans="1:26" x14ac:dyDescent="0.2">
      <c r="A1200" s="32">
        <v>21</v>
      </c>
      <c r="B1200" s="32" t="s">
        <v>23</v>
      </c>
      <c r="D1200" s="33">
        <v>23233.87</v>
      </c>
      <c r="F1200" s="33">
        <v>23159.667123768737</v>
      </c>
      <c r="H1200" s="33">
        <v>0</v>
      </c>
      <c r="I1200" s="33">
        <v>74.202876231262536</v>
      </c>
      <c r="L1200" s="33">
        <v>0</v>
      </c>
      <c r="N1200" s="33">
        <v>74.202876231262536</v>
      </c>
      <c r="O1200" s="33">
        <v>63.76558810170026</v>
      </c>
      <c r="P1200" s="33">
        <v>10.437288129562274</v>
      </c>
      <c r="Q1200" s="33">
        <v>0</v>
      </c>
      <c r="W1200" s="32">
        <v>-6011854.4199999999</v>
      </c>
      <c r="X1200" s="32">
        <v>2934108.65</v>
      </c>
      <c r="Y1200" s="32">
        <v>-3077745.77</v>
      </c>
      <c r="Z1200" s="32">
        <v>0</v>
      </c>
    </row>
    <row r="1201" spans="1:26" x14ac:dyDescent="0.2">
      <c r="F1201" s="33"/>
    </row>
    <row r="1202" spans="1:26" x14ac:dyDescent="0.2">
      <c r="A1202" s="32">
        <v>22</v>
      </c>
      <c r="B1202" s="32" t="s">
        <v>1031</v>
      </c>
      <c r="D1202" s="33">
        <v>2934108.65</v>
      </c>
      <c r="F1202" s="33">
        <v>2542421.2187266927</v>
      </c>
      <c r="H1202" s="33">
        <v>147970.42271558015</v>
      </c>
      <c r="I1202" s="33">
        <v>243717.00855772704</v>
      </c>
      <c r="L1202" s="33">
        <v>22.274729384982912</v>
      </c>
      <c r="N1202" s="33">
        <v>243694.73382834205</v>
      </c>
      <c r="O1202" s="33">
        <v>76079.552451402837</v>
      </c>
      <c r="P1202" s="33">
        <v>167615.1813769392</v>
      </c>
      <c r="Q1202" s="33">
        <v>0</v>
      </c>
    </row>
    <row r="1203" spans="1:26" x14ac:dyDescent="0.2">
      <c r="F1203" s="33"/>
    </row>
    <row r="1204" spans="1:26" x14ac:dyDescent="0.2">
      <c r="B1204" s="32" t="s">
        <v>1032</v>
      </c>
      <c r="F1204" s="33"/>
    </row>
    <row r="1205" spans="1:26" x14ac:dyDescent="0.2">
      <c r="F1205" s="33"/>
    </row>
    <row r="1206" spans="1:26" x14ac:dyDescent="0.2">
      <c r="B1206" s="32" t="s">
        <v>1033</v>
      </c>
      <c r="F1206" s="33"/>
      <c r="V1206" s="32" t="s">
        <v>2658</v>
      </c>
    </row>
    <row r="1207" spans="1:26" x14ac:dyDescent="0.2">
      <c r="A1207" s="32">
        <v>1</v>
      </c>
      <c r="B1207" s="32" t="s">
        <v>1034</v>
      </c>
      <c r="C1207" s="32" t="s">
        <v>35</v>
      </c>
      <c r="D1207" s="33">
        <v>19442861.000000004</v>
      </c>
      <c r="F1207" s="33">
        <v>17000077.441468615</v>
      </c>
      <c r="H1207" s="33">
        <v>1078544.268135082</v>
      </c>
      <c r="I1207" s="33">
        <v>1364239.2903963062</v>
      </c>
      <c r="L1207" s="33">
        <v>228.57349742926326</v>
      </c>
      <c r="N1207" s="33">
        <v>1364010.7168988769</v>
      </c>
      <c r="O1207" s="33">
        <v>432862.21178259875</v>
      </c>
      <c r="P1207" s="33">
        <v>931148.50511627819</v>
      </c>
      <c r="Q1207" s="33">
        <v>2.5504543515245031E-14</v>
      </c>
      <c r="T1207" s="33">
        <v>19442861</v>
      </c>
      <c r="V1207" s="32" t="s">
        <v>2259</v>
      </c>
    </row>
    <row r="1208" spans="1:26" x14ac:dyDescent="0.2">
      <c r="A1208" s="32">
        <v>2</v>
      </c>
      <c r="B1208" s="32" t="s">
        <v>400</v>
      </c>
      <c r="C1208" s="32" t="s">
        <v>2459</v>
      </c>
      <c r="D1208" s="375">
        <v>1985993.81</v>
      </c>
      <c r="E1208" s="376"/>
      <c r="F1208" s="375">
        <v>1985993.81</v>
      </c>
      <c r="G1208" s="376"/>
      <c r="H1208" s="375">
        <v>0</v>
      </c>
      <c r="I1208" s="375">
        <v>0</v>
      </c>
      <c r="J1208" s="375"/>
      <c r="K1208" s="375"/>
      <c r="L1208" s="375">
        <v>0</v>
      </c>
      <c r="M1208" s="375"/>
      <c r="N1208" s="375">
        <v>0</v>
      </c>
      <c r="O1208" s="375">
        <v>0</v>
      </c>
      <c r="P1208" s="375">
        <v>0</v>
      </c>
      <c r="Q1208" s="375">
        <v>0</v>
      </c>
      <c r="R1208" s="376"/>
      <c r="S1208" s="376"/>
      <c r="T1208" s="375">
        <v>1985993.81</v>
      </c>
      <c r="U1208" s="376"/>
      <c r="V1208" s="376"/>
      <c r="W1208" s="376"/>
      <c r="X1208" s="376"/>
      <c r="Y1208" s="376"/>
      <c r="Z1208" s="376"/>
    </row>
    <row r="1209" spans="1:26" x14ac:dyDescent="0.2">
      <c r="A1209" s="32">
        <v>3</v>
      </c>
      <c r="B1209" s="32" t="s">
        <v>401</v>
      </c>
      <c r="C1209" s="32" t="s">
        <v>1144</v>
      </c>
      <c r="D1209" s="375">
        <v>0</v>
      </c>
      <c r="E1209" s="376"/>
      <c r="F1209" s="375">
        <v>0</v>
      </c>
      <c r="G1209" s="376"/>
      <c r="H1209" s="375">
        <v>0</v>
      </c>
      <c r="I1209" s="375">
        <v>0</v>
      </c>
      <c r="J1209" s="375"/>
      <c r="K1209" s="375"/>
      <c r="L1209" s="375">
        <v>0</v>
      </c>
      <c r="M1209" s="375"/>
      <c r="N1209" s="375">
        <v>0</v>
      </c>
      <c r="O1209" s="375">
        <v>0</v>
      </c>
      <c r="P1209" s="375">
        <v>0</v>
      </c>
      <c r="Q1209" s="375">
        <v>0</v>
      </c>
      <c r="R1209" s="376"/>
      <c r="S1209" s="376"/>
      <c r="T1209" s="375"/>
      <c r="U1209" s="376"/>
      <c r="V1209" s="376"/>
      <c r="W1209" s="376"/>
      <c r="X1209" s="376"/>
      <c r="Y1209" s="376"/>
      <c r="Z1209" s="376"/>
    </row>
    <row r="1210" spans="1:26" x14ac:dyDescent="0.2">
      <c r="A1210" s="32">
        <v>4</v>
      </c>
      <c r="B1210" s="32" t="s">
        <v>402</v>
      </c>
      <c r="C1210" s="32" t="s">
        <v>1844</v>
      </c>
      <c r="D1210" s="375">
        <v>247951.03</v>
      </c>
      <c r="E1210" s="376"/>
      <c r="F1210" s="375">
        <v>220522.39597311013</v>
      </c>
      <c r="G1210" s="376"/>
      <c r="H1210" s="375">
        <v>13585.977299614797</v>
      </c>
      <c r="I1210" s="375">
        <v>13842.656727275042</v>
      </c>
      <c r="J1210" s="375"/>
      <c r="K1210" s="375"/>
      <c r="L1210" s="375">
        <v>7.6117571270962445</v>
      </c>
      <c r="M1210" s="375"/>
      <c r="N1210" s="375">
        <v>13835.044970147945</v>
      </c>
      <c r="O1210" s="375">
        <v>4494.4881758841448</v>
      </c>
      <c r="P1210" s="375">
        <v>9340.556794263799</v>
      </c>
      <c r="Q1210" s="375">
        <v>1.5516303612017147E-14</v>
      </c>
      <c r="R1210" s="376"/>
      <c r="S1210" s="376"/>
      <c r="T1210" s="375">
        <v>247951.03</v>
      </c>
      <c r="U1210" s="376"/>
      <c r="V1210" s="376"/>
      <c r="W1210" s="376"/>
      <c r="X1210" s="376"/>
      <c r="Y1210" s="376"/>
      <c r="Z1210" s="376"/>
    </row>
    <row r="1211" spans="1:26" x14ac:dyDescent="0.2">
      <c r="A1211" s="32">
        <v>5</v>
      </c>
      <c r="B1211" s="32" t="s">
        <v>403</v>
      </c>
      <c r="C1211" s="32" t="s">
        <v>1844</v>
      </c>
      <c r="D1211" s="375">
        <v>7372339</v>
      </c>
      <c r="E1211" s="376"/>
      <c r="F1211" s="375">
        <v>6556802.2048789347</v>
      </c>
      <c r="G1211" s="376"/>
      <c r="H1211" s="375">
        <v>403952.46714266465</v>
      </c>
      <c r="I1211" s="375">
        <v>411584.32797840022</v>
      </c>
      <c r="J1211" s="375"/>
      <c r="K1211" s="375"/>
      <c r="L1211" s="375">
        <v>226.32071311266421</v>
      </c>
      <c r="M1211" s="375"/>
      <c r="N1211" s="375">
        <v>411358.00726528757</v>
      </c>
      <c r="O1211" s="375">
        <v>133634.81677857737</v>
      </c>
      <c r="P1211" s="375">
        <v>277723.19048671017</v>
      </c>
      <c r="Q1211" s="375">
        <v>4.6134694522025134E-13</v>
      </c>
      <c r="R1211" s="376"/>
      <c r="S1211" s="376"/>
      <c r="T1211" s="375">
        <v>7372339</v>
      </c>
      <c r="U1211" s="376"/>
      <c r="V1211" s="376"/>
      <c r="W1211" s="376"/>
      <c r="X1211" s="376"/>
      <c r="Y1211" s="376"/>
      <c r="Z1211" s="376"/>
    </row>
    <row r="1212" spans="1:26" x14ac:dyDescent="0.2">
      <c r="A1212" s="32">
        <v>6</v>
      </c>
      <c r="B1212" s="32" t="s">
        <v>404</v>
      </c>
      <c r="C1212" s="32" t="s">
        <v>1762</v>
      </c>
      <c r="D1212" s="375">
        <v>94929.1</v>
      </c>
      <c r="E1212" s="376"/>
      <c r="F1212" s="375">
        <v>82654.297261459738</v>
      </c>
      <c r="G1212" s="376"/>
      <c r="H1212" s="375">
        <v>5638.2210782685461</v>
      </c>
      <c r="I1212" s="375">
        <v>6636.5816602717277</v>
      </c>
      <c r="J1212" s="375"/>
      <c r="K1212" s="375"/>
      <c r="L1212" s="375">
        <v>2.9933125509834637</v>
      </c>
      <c r="M1212" s="375"/>
      <c r="N1212" s="375">
        <v>6633.5883477207444</v>
      </c>
      <c r="O1212" s="375">
        <v>2106.2385238249076</v>
      </c>
      <c r="P1212" s="375">
        <v>4527.3498238958364</v>
      </c>
      <c r="Q1212" s="375">
        <v>1.2938039729234526E-16</v>
      </c>
      <c r="R1212" s="376"/>
      <c r="S1212" s="376"/>
      <c r="T1212" s="375">
        <v>94929.1</v>
      </c>
      <c r="U1212" s="376"/>
      <c r="V1212" s="376"/>
      <c r="W1212" s="376"/>
      <c r="X1212" s="376"/>
      <c r="Y1212" s="376"/>
      <c r="Z1212" s="376"/>
    </row>
    <row r="1213" spans="1:26" x14ac:dyDescent="0.2">
      <c r="A1213" s="32">
        <v>7</v>
      </c>
      <c r="B1213" s="32" t="s">
        <v>405</v>
      </c>
      <c r="D1213" s="33">
        <v>29144073.939999998</v>
      </c>
      <c r="F1213" s="33">
        <v>25846050.149582114</v>
      </c>
      <c r="H1213" s="33">
        <v>1501720.9336556299</v>
      </c>
      <c r="I1213" s="33">
        <v>1796302.8567622532</v>
      </c>
      <c r="L1213" s="33">
        <v>465.49928022000717</v>
      </c>
      <c r="N1213" s="33">
        <v>1795837.3574820333</v>
      </c>
      <c r="O1213" s="33">
        <v>573097.75526088523</v>
      </c>
      <c r="P1213" s="33">
        <v>1222739.6022211481</v>
      </c>
      <c r="Q1213" s="33">
        <v>5.0249717274480587E-13</v>
      </c>
    </row>
    <row r="1214" spans="1:26" x14ac:dyDescent="0.2">
      <c r="F1214" s="33"/>
    </row>
    <row r="1215" spans="1:26" x14ac:dyDescent="0.2">
      <c r="A1215" s="32">
        <v>8</v>
      </c>
      <c r="B1215" s="32" t="s">
        <v>406</v>
      </c>
      <c r="C1215" s="32" t="s">
        <v>1674</v>
      </c>
      <c r="D1215" s="33">
        <v>-886.52</v>
      </c>
      <c r="F1215" s="33">
        <v>-767.27434829426568</v>
      </c>
      <c r="H1215" s="33">
        <v>-45.059744844972002</v>
      </c>
      <c r="I1215" s="33">
        <v>-74.185906860762316</v>
      </c>
      <c r="L1215" s="33">
        <v>-6.7840627589539305E-3</v>
      </c>
      <c r="N1215" s="33">
        <v>-74.179122798003363</v>
      </c>
      <c r="O1215" s="33">
        <v>-23.145768405816746</v>
      </c>
      <c r="P1215" s="33">
        <v>-51.033354392186617</v>
      </c>
      <c r="Q1215" s="33">
        <v>0</v>
      </c>
      <c r="T1215" s="33">
        <v>-886.52</v>
      </c>
      <c r="V1215" s="32" t="s">
        <v>407</v>
      </c>
      <c r="X1215" s="32" t="s">
        <v>2262</v>
      </c>
    </row>
    <row r="1216" spans="1:26" x14ac:dyDescent="0.2">
      <c r="A1216" s="32">
        <v>9</v>
      </c>
      <c r="B1216" s="32" t="s">
        <v>2260</v>
      </c>
      <c r="C1216" s="32" t="s">
        <v>1762</v>
      </c>
      <c r="D1216" s="33">
        <v>-44239.442779999998</v>
      </c>
      <c r="F1216" s="33">
        <v>0</v>
      </c>
      <c r="H1216" s="33">
        <v>-2627.5584491273084</v>
      </c>
      <c r="I1216" s="33">
        <v>0</v>
      </c>
      <c r="L1216" s="33">
        <v>0</v>
      </c>
      <c r="N1216" s="33">
        <v>0</v>
      </c>
      <c r="O1216" s="33">
        <v>0</v>
      </c>
      <c r="P1216" s="33">
        <v>0</v>
      </c>
      <c r="Q1216" s="33">
        <v>0</v>
      </c>
      <c r="T1216" s="33">
        <v>-44239.442779999998</v>
      </c>
      <c r="V1216" s="32" t="s">
        <v>2659</v>
      </c>
      <c r="X1216" s="32">
        <v>72404.98</v>
      </c>
      <c r="Y1216" s="32">
        <v>44239.442779999998</v>
      </c>
    </row>
    <row r="1217" spans="1:26" x14ac:dyDescent="0.2">
      <c r="A1217" s="32">
        <v>10</v>
      </c>
      <c r="B1217" s="32" t="s">
        <v>2261</v>
      </c>
      <c r="C1217" s="32" t="s">
        <v>1844</v>
      </c>
      <c r="D1217" s="33">
        <v>734837.09506999992</v>
      </c>
      <c r="F1217" s="33">
        <v>0</v>
      </c>
      <c r="H1217" s="33">
        <v>20131.95930772278</v>
      </c>
      <c r="I1217" s="33">
        <v>0</v>
      </c>
      <c r="L1217" s="33">
        <v>0</v>
      </c>
      <c r="N1217" s="33">
        <v>0</v>
      </c>
      <c r="O1217" s="33">
        <v>0</v>
      </c>
      <c r="P1217" s="33">
        <v>0</v>
      </c>
      <c r="Q1217" s="33">
        <v>0</v>
      </c>
      <c r="T1217" s="33">
        <v>367418.54753499996</v>
      </c>
      <c r="U1217" s="32" t="s">
        <v>2263</v>
      </c>
      <c r="V1217" s="32" t="s">
        <v>2264</v>
      </c>
      <c r="X1217" s="32" t="s">
        <v>2660</v>
      </c>
      <c r="Y1217" s="32" t="s">
        <v>2265</v>
      </c>
      <c r="Z1217" s="32" t="s">
        <v>2266</v>
      </c>
    </row>
    <row r="1218" spans="1:26" x14ac:dyDescent="0.2">
      <c r="F1218" s="33"/>
      <c r="T1218" s="33">
        <v>714705.13576227718</v>
      </c>
      <c r="U1218" s="32" t="s">
        <v>2661</v>
      </c>
      <c r="X1218" s="32">
        <v>1202679.3699999999</v>
      </c>
      <c r="Y1218" s="32">
        <v>734837.09506999992</v>
      </c>
      <c r="Z1218" s="32">
        <v>367418.54753499996</v>
      </c>
    </row>
    <row r="1219" spans="1:26" x14ac:dyDescent="0.2">
      <c r="B1219" s="32" t="s">
        <v>408</v>
      </c>
      <c r="F1219" s="33"/>
      <c r="Y1219" s="32">
        <v>734837.09506999992</v>
      </c>
    </row>
    <row r="1220" spans="1:26" x14ac:dyDescent="0.2">
      <c r="A1220" s="32">
        <v>11</v>
      </c>
      <c r="B1220" s="32" t="s">
        <v>409</v>
      </c>
      <c r="C1220" s="32" t="s">
        <v>602</v>
      </c>
      <c r="D1220" s="33">
        <v>-853975</v>
      </c>
      <c r="F1220" s="33">
        <v>-739106.97060934384</v>
      </c>
      <c r="H1220" s="33">
        <v>-43405.558367532554</v>
      </c>
      <c r="I1220" s="33">
        <v>-71462.471023123551</v>
      </c>
      <c r="L1220" s="33">
        <v>-6.5350133043560019</v>
      </c>
      <c r="N1220" s="33">
        <v>-71455.936009819197</v>
      </c>
      <c r="O1220" s="33">
        <v>-22296.065034468884</v>
      </c>
      <c r="P1220" s="33">
        <v>-49159.870975350314</v>
      </c>
      <c r="Q1220" s="33">
        <v>0</v>
      </c>
      <c r="T1220" s="33">
        <v>-853975</v>
      </c>
      <c r="V1220" s="32" t="s">
        <v>410</v>
      </c>
    </row>
    <row r="1221" spans="1:26" x14ac:dyDescent="0.2">
      <c r="F1221" s="33"/>
    </row>
    <row r="1222" spans="1:26" x14ac:dyDescent="0.2">
      <c r="B1222" s="32" t="s">
        <v>411</v>
      </c>
      <c r="F1222" s="33"/>
    </row>
    <row r="1223" spans="1:26" x14ac:dyDescent="0.2">
      <c r="A1223" s="32">
        <v>12</v>
      </c>
      <c r="B1223" s="32" t="s">
        <v>412</v>
      </c>
      <c r="C1223" s="32" t="s">
        <v>1854</v>
      </c>
      <c r="D1223" s="33">
        <v>-97112.000000000015</v>
      </c>
      <c r="F1223" s="33">
        <v>-83423.357424158006</v>
      </c>
      <c r="H1223" s="33">
        <v>-5087.7431011919061</v>
      </c>
      <c r="I1223" s="33">
        <v>-8600.8994746500975</v>
      </c>
      <c r="L1223" s="33">
        <v>-0.7376100785674643</v>
      </c>
      <c r="N1223" s="33">
        <v>-8600.1618645715298</v>
      </c>
      <c r="O1223" s="33">
        <v>-2683.4687073876753</v>
      </c>
      <c r="P1223" s="33">
        <v>-5916.6931571838541</v>
      </c>
      <c r="Q1223" s="33">
        <v>0</v>
      </c>
      <c r="T1223" s="33">
        <v>-97112</v>
      </c>
      <c r="V1223" s="32" t="s">
        <v>410</v>
      </c>
    </row>
    <row r="1224" spans="1:26" x14ac:dyDescent="0.2">
      <c r="A1224" s="32">
        <v>13</v>
      </c>
      <c r="B1224" s="32" t="s">
        <v>413</v>
      </c>
      <c r="C1224" s="32" t="s">
        <v>1759</v>
      </c>
      <c r="D1224" s="33">
        <v>-7904.0000000000009</v>
      </c>
      <c r="F1224" s="33">
        <v>-1124.9429432558886</v>
      </c>
      <c r="H1224" s="33">
        <v>-6669.6094906404624</v>
      </c>
      <c r="I1224" s="33">
        <v>-109.44756610364946</v>
      </c>
      <c r="L1224" s="33">
        <v>-9.9464859528490181E-3</v>
      </c>
      <c r="N1224" s="33">
        <v>-109.43761961769661</v>
      </c>
      <c r="O1224" s="33">
        <v>-34.147314001713333</v>
      </c>
      <c r="P1224" s="33">
        <v>-75.290305615983272</v>
      </c>
      <c r="Q1224" s="33">
        <v>0</v>
      </c>
      <c r="T1224" s="33">
        <v>-7904</v>
      </c>
    </row>
    <row r="1225" spans="1:26" x14ac:dyDescent="0.2">
      <c r="A1225" s="32">
        <v>14</v>
      </c>
      <c r="B1225" s="32" t="s">
        <v>414</v>
      </c>
      <c r="D1225" s="33">
        <v>-105016</v>
      </c>
      <c r="F1225" s="33">
        <v>-84548.300367413889</v>
      </c>
      <c r="H1225" s="33">
        <v>-11757.352591832368</v>
      </c>
      <c r="I1225" s="33">
        <v>-8710.3470407537461</v>
      </c>
      <c r="L1225" s="33">
        <v>-0.74755656452031327</v>
      </c>
      <c r="N1225" s="33">
        <v>-8709.5994841892261</v>
      </c>
      <c r="O1225" s="33">
        <v>-2717.6160213893886</v>
      </c>
      <c r="P1225" s="33">
        <v>-5991.9834627998371</v>
      </c>
      <c r="Q1225" s="33">
        <v>0</v>
      </c>
    </row>
    <row r="1226" spans="1:26" x14ac:dyDescent="0.2">
      <c r="F1226" s="33"/>
    </row>
    <row r="1227" spans="1:26" x14ac:dyDescent="0.2">
      <c r="A1227" s="32">
        <v>15</v>
      </c>
      <c r="B1227" s="32" t="s">
        <v>758</v>
      </c>
      <c r="C1227" s="32" t="s">
        <v>1790</v>
      </c>
      <c r="D1227" s="33">
        <v>-13424</v>
      </c>
      <c r="F1227" s="33">
        <v>0</v>
      </c>
      <c r="H1227" s="33">
        <v>-13424</v>
      </c>
      <c r="I1227" s="33">
        <v>0</v>
      </c>
      <c r="L1227" s="33">
        <v>0</v>
      </c>
      <c r="N1227" s="33">
        <v>0</v>
      </c>
      <c r="O1227" s="33">
        <v>0</v>
      </c>
      <c r="P1227" s="33">
        <v>0</v>
      </c>
      <c r="Q1227" s="33">
        <v>0</v>
      </c>
      <c r="T1227" s="33">
        <v>-13424</v>
      </c>
      <c r="V1227" s="32" t="s">
        <v>410</v>
      </c>
    </row>
    <row r="1228" spans="1:26" x14ac:dyDescent="0.2">
      <c r="A1228" s="32">
        <v>16</v>
      </c>
      <c r="B1228" s="32" t="s">
        <v>759</v>
      </c>
      <c r="C1228" s="32" t="s">
        <v>1231</v>
      </c>
      <c r="D1228" s="33">
        <v>-257793</v>
      </c>
      <c r="F1228" s="33">
        <v>-256938.91062202168</v>
      </c>
      <c r="H1228" s="33">
        <v>0</v>
      </c>
      <c r="I1228" s="33">
        <v>-854.08937797833312</v>
      </c>
      <c r="L1228" s="33">
        <v>-30.864843619016277</v>
      </c>
      <c r="N1228" s="33">
        <v>-823.22453435931686</v>
      </c>
      <c r="O1228" s="33">
        <v>-707.43075254344535</v>
      </c>
      <c r="P1228" s="33">
        <v>-115.79378181587147</v>
      </c>
      <c r="Q1228" s="33">
        <v>0</v>
      </c>
      <c r="T1228" s="33">
        <v>-257793</v>
      </c>
    </row>
    <row r="1229" spans="1:26" x14ac:dyDescent="0.2">
      <c r="A1229" s="32">
        <v>17</v>
      </c>
      <c r="B1229" s="32" t="s">
        <v>760</v>
      </c>
      <c r="C1229" s="32" t="s">
        <v>1864</v>
      </c>
      <c r="D1229" s="33">
        <v>-26348.999999999996</v>
      </c>
      <c r="F1229" s="33">
        <v>-23434.242686934911</v>
      </c>
      <c r="H1229" s="33">
        <v>-1443.7403864285234</v>
      </c>
      <c r="I1229" s="33">
        <v>-1471.0169266365626</v>
      </c>
      <c r="L1229" s="33">
        <v>-0.80887822301790391</v>
      </c>
      <c r="N1229" s="33">
        <v>-1470.2080484135447</v>
      </c>
      <c r="O1229" s="33">
        <v>-477.61555556502981</v>
      </c>
      <c r="P1229" s="33">
        <v>-992.59249284851489</v>
      </c>
      <c r="Q1229" s="33">
        <v>-1.6488702784297363E-15</v>
      </c>
      <c r="T1229" s="33">
        <v>-26349</v>
      </c>
    </row>
    <row r="1230" spans="1:26" x14ac:dyDescent="0.2">
      <c r="A1230" s="32">
        <v>18</v>
      </c>
      <c r="B1230" s="32" t="s">
        <v>39</v>
      </c>
      <c r="D1230" s="33">
        <v>-1256557</v>
      </c>
      <c r="F1230" s="33">
        <v>-1104028.4242857145</v>
      </c>
      <c r="H1230" s="33">
        <v>-70030.651345793449</v>
      </c>
      <c r="I1230" s="33">
        <v>-82497.924368492197</v>
      </c>
      <c r="L1230" s="33">
        <v>-38.956291710910499</v>
      </c>
      <c r="N1230" s="33">
        <v>-82458.968076781282</v>
      </c>
      <c r="O1230" s="33">
        <v>-26198.727363966747</v>
      </c>
      <c r="P1230" s="33">
        <v>-56260.240712814535</v>
      </c>
      <c r="Q1230" s="33">
        <v>-1.6488702784297363E-15</v>
      </c>
    </row>
    <row r="1231" spans="1:26" x14ac:dyDescent="0.2">
      <c r="F1231" s="33"/>
    </row>
    <row r="1232" spans="1:26" x14ac:dyDescent="0.2">
      <c r="B1232" s="32" t="s">
        <v>415</v>
      </c>
      <c r="F1232" s="33"/>
      <c r="V1232" s="32" t="s">
        <v>416</v>
      </c>
    </row>
    <row r="1233" spans="1:22" x14ac:dyDescent="0.2">
      <c r="A1233" s="32">
        <v>19</v>
      </c>
      <c r="B1233" s="32" t="s">
        <v>755</v>
      </c>
      <c r="C1233" s="32" t="s">
        <v>1202</v>
      </c>
      <c r="D1233" s="33">
        <v>0</v>
      </c>
      <c r="F1233" s="33">
        <v>0</v>
      </c>
      <c r="H1233" s="33">
        <v>0</v>
      </c>
      <c r="I1233" s="33">
        <v>0</v>
      </c>
      <c r="L1233" s="33">
        <v>0</v>
      </c>
      <c r="N1233" s="33">
        <v>0</v>
      </c>
      <c r="O1233" s="33">
        <v>0</v>
      </c>
      <c r="P1233" s="33">
        <v>0</v>
      </c>
      <c r="Q1233" s="33">
        <v>0</v>
      </c>
      <c r="V1233" s="32" t="s">
        <v>410</v>
      </c>
    </row>
    <row r="1234" spans="1:22" x14ac:dyDescent="0.2">
      <c r="A1234" s="32">
        <v>20</v>
      </c>
      <c r="B1234" s="32" t="s">
        <v>756</v>
      </c>
      <c r="C1234" s="32" t="s">
        <v>1216</v>
      </c>
      <c r="D1234" s="33">
        <v>0</v>
      </c>
      <c r="F1234" s="33">
        <v>0</v>
      </c>
      <c r="H1234" s="33">
        <v>0</v>
      </c>
      <c r="I1234" s="33">
        <v>0</v>
      </c>
      <c r="L1234" s="33">
        <v>0</v>
      </c>
      <c r="N1234" s="33">
        <v>0</v>
      </c>
      <c r="O1234" s="33">
        <v>0</v>
      </c>
      <c r="P1234" s="33">
        <v>0</v>
      </c>
      <c r="Q1234" s="33">
        <v>0</v>
      </c>
      <c r="T1234" s="33">
        <v>0</v>
      </c>
    </row>
    <row r="1235" spans="1:22" x14ac:dyDescent="0.2">
      <c r="A1235" s="32">
        <v>21</v>
      </c>
      <c r="B1235" s="32" t="s">
        <v>757</v>
      </c>
      <c r="C1235" s="32" t="s">
        <v>1759</v>
      </c>
      <c r="D1235" s="33">
        <v>0</v>
      </c>
      <c r="F1235" s="33">
        <v>0</v>
      </c>
      <c r="H1235" s="33">
        <v>0</v>
      </c>
      <c r="I1235" s="33">
        <v>0</v>
      </c>
      <c r="L1235" s="33">
        <v>0</v>
      </c>
      <c r="N1235" s="33">
        <v>0</v>
      </c>
      <c r="O1235" s="33">
        <v>0</v>
      </c>
      <c r="P1235" s="33">
        <v>0</v>
      </c>
      <c r="Q1235" s="33">
        <v>0</v>
      </c>
      <c r="T1235" s="33">
        <v>0</v>
      </c>
    </row>
    <row r="1236" spans="1:22" x14ac:dyDescent="0.2">
      <c r="A1236" s="32">
        <v>22</v>
      </c>
      <c r="B1236" s="32" t="s">
        <v>417</v>
      </c>
      <c r="C1236" s="32" t="s">
        <v>1792</v>
      </c>
      <c r="D1236" s="33">
        <v>0</v>
      </c>
      <c r="F1236" s="33">
        <v>0</v>
      </c>
      <c r="H1236" s="33">
        <v>0</v>
      </c>
      <c r="I1236" s="33">
        <v>0</v>
      </c>
      <c r="L1236" s="33">
        <v>0</v>
      </c>
      <c r="N1236" s="33">
        <v>0</v>
      </c>
      <c r="O1236" s="33">
        <v>0</v>
      </c>
      <c r="P1236" s="33">
        <v>0</v>
      </c>
      <c r="Q1236" s="33">
        <v>0</v>
      </c>
      <c r="T1236" s="33">
        <v>0</v>
      </c>
    </row>
    <row r="1237" spans="1:22" x14ac:dyDescent="0.2">
      <c r="A1237" s="32">
        <v>23</v>
      </c>
      <c r="B1237" s="32" t="s">
        <v>759</v>
      </c>
      <c r="C1237" s="32" t="s">
        <v>1231</v>
      </c>
      <c r="D1237" s="33">
        <v>0</v>
      </c>
      <c r="F1237" s="33">
        <v>0</v>
      </c>
      <c r="H1237" s="33">
        <v>0</v>
      </c>
      <c r="I1237" s="33">
        <v>0</v>
      </c>
      <c r="L1237" s="33">
        <v>0</v>
      </c>
      <c r="N1237" s="33">
        <v>0</v>
      </c>
      <c r="O1237" s="33">
        <v>0</v>
      </c>
      <c r="P1237" s="33">
        <v>0</v>
      </c>
      <c r="Q1237" s="33">
        <v>0</v>
      </c>
      <c r="T1237" s="33">
        <v>0</v>
      </c>
    </row>
    <row r="1238" spans="1:22" x14ac:dyDescent="0.2">
      <c r="A1238" s="32">
        <v>24</v>
      </c>
      <c r="B1238" s="32" t="s">
        <v>760</v>
      </c>
      <c r="C1238" s="32" t="s">
        <v>1864</v>
      </c>
      <c r="D1238" s="33">
        <v>0</v>
      </c>
      <c r="F1238" s="33">
        <v>0</v>
      </c>
      <c r="H1238" s="33">
        <v>0</v>
      </c>
      <c r="I1238" s="33">
        <v>0</v>
      </c>
      <c r="L1238" s="33">
        <v>0</v>
      </c>
      <c r="N1238" s="33">
        <v>0</v>
      </c>
      <c r="O1238" s="33">
        <v>0</v>
      </c>
      <c r="P1238" s="33">
        <v>0</v>
      </c>
      <c r="Q1238" s="33">
        <v>0</v>
      </c>
      <c r="T1238" s="33">
        <v>0</v>
      </c>
    </row>
    <row r="1239" spans="1:22" x14ac:dyDescent="0.2">
      <c r="A1239" s="32">
        <v>25</v>
      </c>
      <c r="B1239" s="32" t="s">
        <v>418</v>
      </c>
      <c r="D1239" s="33">
        <v>0</v>
      </c>
      <c r="F1239" s="33">
        <v>0</v>
      </c>
      <c r="H1239" s="33">
        <v>0</v>
      </c>
      <c r="I1239" s="33">
        <v>0</v>
      </c>
      <c r="L1239" s="33">
        <v>0</v>
      </c>
      <c r="N1239" s="33">
        <v>0</v>
      </c>
      <c r="O1239" s="33">
        <v>0</v>
      </c>
      <c r="P1239" s="33">
        <v>0</v>
      </c>
      <c r="Q1239" s="33">
        <v>0</v>
      </c>
    </row>
    <row r="1240" spans="1:22" x14ac:dyDescent="0.2">
      <c r="F1240" s="33"/>
    </row>
    <row r="1241" spans="1:22" x14ac:dyDescent="0.2">
      <c r="A1241" s="32">
        <v>26</v>
      </c>
      <c r="B1241" s="32" t="s">
        <v>419</v>
      </c>
      <c r="D1241" s="33">
        <v>1199119574.1400001</v>
      </c>
      <c r="F1241" s="33">
        <v>1049668662.0726219</v>
      </c>
      <c r="H1241" s="33">
        <v>61073343.37865071</v>
      </c>
      <c r="I1241" s="33">
        <v>88377568.688727304</v>
      </c>
      <c r="L1241" s="33">
        <v>18468.677935451145</v>
      </c>
      <c r="N1241" s="33">
        <v>88359100.010791853</v>
      </c>
      <c r="O1241" s="33">
        <v>28602472.274503522</v>
      </c>
      <c r="P1241" s="33">
        <v>59756627.736288331</v>
      </c>
      <c r="Q1241" s="33">
        <v>5.404608213951669E-12</v>
      </c>
    </row>
    <row r="1242" spans="1:22" x14ac:dyDescent="0.2">
      <c r="F1242" s="33"/>
    </row>
    <row r="1243" spans="1:22" x14ac:dyDescent="0.2">
      <c r="F1243" s="33"/>
    </row>
    <row r="1244" spans="1:22" x14ac:dyDescent="0.2">
      <c r="F1244" s="33"/>
    </row>
    <row r="1245" spans="1:22" x14ac:dyDescent="0.2">
      <c r="F1245" s="33"/>
    </row>
    <row r="1246" spans="1:22" x14ac:dyDescent="0.2">
      <c r="F1246" s="33"/>
    </row>
    <row r="1247" spans="1:22" x14ac:dyDescent="0.2">
      <c r="F1247" s="33"/>
    </row>
    <row r="1248" spans="1:22" x14ac:dyDescent="0.2">
      <c r="F1248" s="33"/>
    </row>
    <row r="1249" spans="1:23" x14ac:dyDescent="0.2">
      <c r="F1249" s="33"/>
    </row>
    <row r="1250" spans="1:23" x14ac:dyDescent="0.2">
      <c r="B1250" s="32" t="s">
        <v>420</v>
      </c>
      <c r="F1250" s="33"/>
    </row>
    <row r="1251" spans="1:23" x14ac:dyDescent="0.2">
      <c r="F1251" s="33"/>
    </row>
    <row r="1252" spans="1:23" x14ac:dyDescent="0.2">
      <c r="A1252" s="32">
        <v>1</v>
      </c>
      <c r="B1252" s="32" t="s">
        <v>421</v>
      </c>
      <c r="D1252" s="33">
        <v>322916383</v>
      </c>
      <c r="F1252" s="33">
        <v>292408257.49282849</v>
      </c>
      <c r="H1252" s="33">
        <v>14743215.97138834</v>
      </c>
      <c r="I1252" s="33">
        <v>15764909.135783214</v>
      </c>
      <c r="L1252" s="33">
        <v>-11805.596104313612</v>
      </c>
      <c r="N1252" s="33">
        <v>15776714.731887527</v>
      </c>
      <c r="O1252" s="33">
        <v>5051969.7762059718</v>
      </c>
      <c r="P1252" s="33">
        <v>10724744.955681555</v>
      </c>
      <c r="Q1252" s="33">
        <v>-5.404608213951669E-12</v>
      </c>
      <c r="T1252" s="33">
        <v>322916383</v>
      </c>
      <c r="U1252" s="32" t="s">
        <v>721</v>
      </c>
      <c r="W1252" s="32">
        <v>0</v>
      </c>
    </row>
    <row r="1253" spans="1:23" x14ac:dyDescent="0.2">
      <c r="F1253" s="33"/>
    </row>
    <row r="1254" spans="1:23" x14ac:dyDescent="0.2">
      <c r="B1254" s="32" t="s">
        <v>422</v>
      </c>
      <c r="F1254" s="33"/>
    </row>
    <row r="1255" spans="1:23" x14ac:dyDescent="0.2">
      <c r="B1255" s="32" t="s">
        <v>423</v>
      </c>
      <c r="F1255" s="33"/>
    </row>
    <row r="1256" spans="1:23" x14ac:dyDescent="0.2">
      <c r="A1256" s="32">
        <v>2</v>
      </c>
      <c r="F1256" s="33"/>
    </row>
    <row r="1257" spans="1:23" x14ac:dyDescent="0.2">
      <c r="A1257" s="32">
        <v>3</v>
      </c>
      <c r="F1257" s="33"/>
    </row>
    <row r="1258" spans="1:23" x14ac:dyDescent="0.2">
      <c r="A1258" s="32">
        <v>4</v>
      </c>
      <c r="B1258" s="32" t="s">
        <v>424</v>
      </c>
      <c r="D1258" s="33">
        <v>0</v>
      </c>
      <c r="F1258" s="33">
        <v>0</v>
      </c>
      <c r="H1258" s="33">
        <v>0</v>
      </c>
      <c r="I1258" s="33">
        <v>0</v>
      </c>
      <c r="L1258" s="33">
        <v>0</v>
      </c>
      <c r="N1258" s="33">
        <v>0</v>
      </c>
      <c r="O1258" s="33">
        <v>0</v>
      </c>
      <c r="P1258" s="33">
        <v>0</v>
      </c>
      <c r="Q1258" s="33">
        <v>0</v>
      </c>
    </row>
    <row r="1259" spans="1:23" x14ac:dyDescent="0.2">
      <c r="F1259" s="33"/>
    </row>
    <row r="1260" spans="1:23" x14ac:dyDescent="0.2">
      <c r="B1260" s="32" t="s">
        <v>425</v>
      </c>
      <c r="F1260" s="33"/>
    </row>
    <row r="1261" spans="1:23" x14ac:dyDescent="0.2">
      <c r="B1261" s="32" t="s">
        <v>426</v>
      </c>
      <c r="F1261" s="33"/>
    </row>
    <row r="1262" spans="1:23" x14ac:dyDescent="0.2">
      <c r="A1262" s="32">
        <v>5</v>
      </c>
      <c r="B1262" s="32" t="s">
        <v>427</v>
      </c>
      <c r="C1262" s="32" t="s">
        <v>37</v>
      </c>
      <c r="D1262" s="33">
        <v>68412281.090000018</v>
      </c>
      <c r="F1262" s="33">
        <v>59882590.212777473</v>
      </c>
      <c r="H1262" s="33">
        <v>3652286.9386506467</v>
      </c>
      <c r="I1262" s="33">
        <v>4877403.9385718936</v>
      </c>
      <c r="L1262" s="33">
        <v>638.31778416948544</v>
      </c>
      <c r="N1262" s="33">
        <v>4876765.6207877239</v>
      </c>
      <c r="O1262" s="33">
        <v>1548863.1395702772</v>
      </c>
      <c r="P1262" s="33">
        <v>3327902.4812174467</v>
      </c>
      <c r="Q1262" s="33">
        <v>1.0709866629507657E-13</v>
      </c>
      <c r="T1262" s="33">
        <v>68412281.090000004</v>
      </c>
      <c r="V1262" s="32" t="s">
        <v>410</v>
      </c>
    </row>
    <row r="1263" spans="1:23" x14ac:dyDescent="0.2">
      <c r="A1263" s="32">
        <v>6</v>
      </c>
      <c r="B1263" s="32" t="s">
        <v>428</v>
      </c>
      <c r="C1263" s="32" t="s">
        <v>1837</v>
      </c>
      <c r="D1263" s="33">
        <v>0</v>
      </c>
      <c r="F1263" s="33">
        <v>0</v>
      </c>
      <c r="H1263" s="33">
        <v>1719.4505384607828</v>
      </c>
      <c r="I1263" s="33">
        <v>0</v>
      </c>
      <c r="L1263" s="33">
        <v>0</v>
      </c>
      <c r="N1263" s="33">
        <v>0</v>
      </c>
      <c r="O1263" s="33">
        <v>0</v>
      </c>
      <c r="P1263" s="33">
        <v>0</v>
      </c>
      <c r="Q1263" s="33">
        <v>0</v>
      </c>
      <c r="T1263" s="33">
        <v>1373106</v>
      </c>
      <c r="V1263" s="32" t="s">
        <v>2267</v>
      </c>
    </row>
    <row r="1264" spans="1:23" x14ac:dyDescent="0.2">
      <c r="A1264" s="32">
        <v>7</v>
      </c>
      <c r="B1264" s="32" t="s">
        <v>1720</v>
      </c>
      <c r="C1264" s="32" t="s">
        <v>649</v>
      </c>
      <c r="D1264" s="33">
        <v>-13892.09</v>
      </c>
      <c r="F1264" s="33">
        <v>0</v>
      </c>
      <c r="H1264" s="33">
        <v>0</v>
      </c>
      <c r="I1264" s="33">
        <v>-13892.09</v>
      </c>
      <c r="L1264" s="33">
        <v>0</v>
      </c>
      <c r="N1264" s="33">
        <v>-13892.09</v>
      </c>
      <c r="O1264" s="33">
        <v>-4334.6845538785155</v>
      </c>
      <c r="P1264" s="33">
        <v>-9557.4054461214855</v>
      </c>
      <c r="Q1264" s="33">
        <v>0</v>
      </c>
      <c r="T1264" s="33">
        <v>-13892.09</v>
      </c>
      <c r="V1264" s="32" t="s">
        <v>410</v>
      </c>
    </row>
    <row r="1265" spans="1:28" x14ac:dyDescent="0.2">
      <c r="A1265" s="32">
        <v>8</v>
      </c>
      <c r="B1265" s="32" t="s">
        <v>1721</v>
      </c>
      <c r="D1265" s="33">
        <v>68398389.000000015</v>
      </c>
      <c r="F1265" s="33">
        <v>59882590.212777473</v>
      </c>
      <c r="H1265" s="33">
        <v>3654006.3891891073</v>
      </c>
      <c r="I1265" s="33">
        <v>4863511.8485718938</v>
      </c>
      <c r="L1265" s="33">
        <v>638.31778416948544</v>
      </c>
      <c r="N1265" s="33">
        <v>4862873.5307877241</v>
      </c>
      <c r="O1265" s="33">
        <v>1544528.4550163986</v>
      </c>
      <c r="P1265" s="33">
        <v>3318345.0757713253</v>
      </c>
      <c r="Q1265" s="33">
        <v>1.0709866629507657E-13</v>
      </c>
      <c r="V1265" s="32" t="s">
        <v>410</v>
      </c>
    </row>
    <row r="1266" spans="1:28" x14ac:dyDescent="0.2">
      <c r="F1266" s="33"/>
    </row>
    <row r="1267" spans="1:28" x14ac:dyDescent="0.2">
      <c r="B1267" s="32" t="s">
        <v>1722</v>
      </c>
      <c r="F1267" s="33"/>
    </row>
    <row r="1268" spans="1:28" x14ac:dyDescent="0.2">
      <c r="A1268" s="32">
        <v>9</v>
      </c>
      <c r="B1268" s="32" t="s">
        <v>2662</v>
      </c>
      <c r="C1268" s="32" t="s">
        <v>1846</v>
      </c>
      <c r="D1268" s="33">
        <v>-3773628</v>
      </c>
      <c r="F1268" s="33">
        <v>-3266037.9510952863</v>
      </c>
      <c r="H1268" s="33">
        <v>-191804.71373442453</v>
      </c>
      <c r="I1268" s="33">
        <v>-315785.33517028921</v>
      </c>
      <c r="L1268" s="33">
        <v>-28.877554010000679</v>
      </c>
      <c r="N1268" s="33">
        <v>-315756.45761627919</v>
      </c>
      <c r="O1268" s="33">
        <v>-98524.02623483444</v>
      </c>
      <c r="P1268" s="33">
        <v>-217232.43138144474</v>
      </c>
      <c r="Q1268" s="33">
        <v>0</v>
      </c>
      <c r="T1268" s="33">
        <v>-3773628</v>
      </c>
      <c r="V1268" s="32" t="s">
        <v>2663</v>
      </c>
    </row>
    <row r="1269" spans="1:28" x14ac:dyDescent="0.2">
      <c r="A1269" s="32">
        <v>10</v>
      </c>
      <c r="B1269" s="32" t="s">
        <v>2664</v>
      </c>
      <c r="C1269" s="32" t="s">
        <v>1676</v>
      </c>
      <c r="D1269" s="33">
        <v>219243</v>
      </c>
      <c r="F1269" s="33">
        <v>0</v>
      </c>
      <c r="H1269" s="33">
        <v>82850.783761432278</v>
      </c>
      <c r="I1269" s="33">
        <v>136392.21623856772</v>
      </c>
      <c r="L1269" s="33">
        <v>0</v>
      </c>
      <c r="N1269" s="33">
        <v>136392.21623856772</v>
      </c>
      <c r="O1269" s="33">
        <v>42557.832046767464</v>
      </c>
      <c r="P1269" s="33">
        <v>93834.384191800244</v>
      </c>
      <c r="Q1269" s="33">
        <v>0</v>
      </c>
      <c r="T1269" s="33">
        <v>219243</v>
      </c>
      <c r="V1269" s="32" t="s">
        <v>410</v>
      </c>
    </row>
    <row r="1270" spans="1:28" x14ac:dyDescent="0.2">
      <c r="A1270" s="32">
        <v>11</v>
      </c>
      <c r="B1270" s="32" t="s">
        <v>2665</v>
      </c>
      <c r="C1270" s="32" t="s">
        <v>1682</v>
      </c>
      <c r="D1270" s="33">
        <v>785219.99999999988</v>
      </c>
      <c r="F1270" s="33">
        <v>0</v>
      </c>
      <c r="H1270" s="33">
        <v>0</v>
      </c>
      <c r="I1270" s="33">
        <v>785219.99999999988</v>
      </c>
      <c r="L1270" s="33">
        <v>0</v>
      </c>
      <c r="N1270" s="33">
        <v>785219.99999999988</v>
      </c>
      <c r="O1270" s="33">
        <v>245008.56281498951</v>
      </c>
      <c r="P1270" s="33">
        <v>540211.43718501041</v>
      </c>
      <c r="Q1270" s="33">
        <v>0</v>
      </c>
      <c r="T1270" s="33">
        <v>785220</v>
      </c>
      <c r="V1270" s="32" t="s">
        <v>410</v>
      </c>
    </row>
    <row r="1271" spans="1:28" x14ac:dyDescent="0.2">
      <c r="A1271" s="32">
        <v>12</v>
      </c>
      <c r="B1271" s="32" t="s">
        <v>1723</v>
      </c>
      <c r="C1271" s="32" t="s">
        <v>37</v>
      </c>
      <c r="D1271" s="33">
        <v>137097</v>
      </c>
      <c r="F1271" s="33">
        <v>120003.6505083177</v>
      </c>
      <c r="H1271" s="33">
        <v>7319.1183578496239</v>
      </c>
      <c r="I1271" s="33">
        <v>9774.2311338326836</v>
      </c>
      <c r="L1271" s="33">
        <v>1.2791775374535159</v>
      </c>
      <c r="N1271" s="33">
        <v>9772.95195629523</v>
      </c>
      <c r="O1271" s="33">
        <v>3103.8943076070773</v>
      </c>
      <c r="P1271" s="33">
        <v>6669.0576486881519</v>
      </c>
      <c r="Q1271" s="33">
        <v>2.1462383097180998E-16</v>
      </c>
      <c r="T1271" s="33">
        <v>137097</v>
      </c>
      <c r="V1271" s="32" t="s">
        <v>410</v>
      </c>
    </row>
    <row r="1272" spans="1:28" x14ac:dyDescent="0.2">
      <c r="A1272" s="32">
        <v>13</v>
      </c>
      <c r="B1272" s="32" t="s">
        <v>1724</v>
      </c>
      <c r="D1272" s="33">
        <v>-2632068</v>
      </c>
      <c r="F1272" s="33">
        <v>-3146034.3005869687</v>
      </c>
      <c r="H1272" s="33">
        <v>-101634.81161514262</v>
      </c>
      <c r="I1272" s="33">
        <v>615601.11220211105</v>
      </c>
      <c r="L1272" s="33">
        <v>-27.598376472547162</v>
      </c>
      <c r="N1272" s="33">
        <v>615628.71057858365</v>
      </c>
      <c r="O1272" s="33">
        <v>192146.26293452963</v>
      </c>
      <c r="P1272" s="33">
        <v>423482.44764405407</v>
      </c>
      <c r="Q1272" s="33">
        <v>2.1462383097180998E-16</v>
      </c>
    </row>
    <row r="1273" spans="1:28" x14ac:dyDescent="0.2">
      <c r="F1273" s="33"/>
      <c r="W1273" s="32" t="s">
        <v>2666</v>
      </c>
      <c r="X1273" s="32" t="s">
        <v>2667</v>
      </c>
      <c r="Y1273" s="32" t="s">
        <v>2668</v>
      </c>
      <c r="Z1273" s="32" t="s">
        <v>2669</v>
      </c>
      <c r="AA1273" s="32" t="s">
        <v>82</v>
      </c>
    </row>
    <row r="1274" spans="1:28" x14ac:dyDescent="0.2">
      <c r="A1274" s="32">
        <v>14</v>
      </c>
      <c r="B1274" s="32" t="s">
        <v>2670</v>
      </c>
      <c r="D1274" s="33">
        <v>251885926</v>
      </c>
      <c r="F1274" s="33">
        <v>229379633</v>
      </c>
      <c r="H1274" s="33">
        <v>10987575</v>
      </c>
      <c r="I1274" s="33">
        <v>11516998</v>
      </c>
      <c r="L1274" s="33">
        <v>-12472</v>
      </c>
      <c r="N1274" s="33">
        <v>11529470</v>
      </c>
      <c r="O1274" s="33">
        <v>3699588</v>
      </c>
      <c r="P1274" s="33">
        <v>7829882</v>
      </c>
      <c r="Q1274" s="33">
        <v>0</v>
      </c>
      <c r="T1274" s="33">
        <v>251884206</v>
      </c>
      <c r="W1274" s="32">
        <v>229379632.97946405</v>
      </c>
      <c r="X1274" s="32">
        <v>-11194.876696616675</v>
      </c>
      <c r="Y1274" s="32">
        <v>3699587.5841241027</v>
      </c>
      <c r="Z1274" s="32">
        <v>7829882.3275542837</v>
      </c>
      <c r="AA1274" s="32">
        <v>240897908.01444581</v>
      </c>
    </row>
    <row r="1275" spans="1:28" x14ac:dyDescent="0.2">
      <c r="A1275" s="32">
        <v>15</v>
      </c>
      <c r="B1275" s="32" t="s">
        <v>2268</v>
      </c>
      <c r="D1275" s="33">
        <v>251885926</v>
      </c>
      <c r="F1275" s="33">
        <v>229379633</v>
      </c>
      <c r="H1275" s="33">
        <v>9863124.6805565674</v>
      </c>
      <c r="I1275" s="33">
        <v>11516998</v>
      </c>
      <c r="L1275" s="33">
        <v>-12472</v>
      </c>
      <c r="N1275" s="33">
        <v>11529470</v>
      </c>
      <c r="O1275" s="33">
        <v>3699588</v>
      </c>
      <c r="P1275" s="33">
        <v>7829882</v>
      </c>
      <c r="Q1275" s="33">
        <v>-5.5114922564157736E-12</v>
      </c>
      <c r="T1275" s="33">
        <v>251085094.45946154</v>
      </c>
      <c r="V1275" s="32" t="s">
        <v>2269</v>
      </c>
      <c r="W1275" s="32">
        <v>0.95218607280603262</v>
      </c>
      <c r="X1275" s="32">
        <v>-4.6471456680086057E-5</v>
      </c>
      <c r="Y1275" s="32">
        <v>1.5357491539122255E-2</v>
      </c>
      <c r="Z1275" s="32">
        <v>3.2502907111525238E-2</v>
      </c>
      <c r="AA1275" s="32">
        <v>242021081.31944343</v>
      </c>
      <c r="AB1275" s="32">
        <v>1</v>
      </c>
    </row>
    <row r="1276" spans="1:28" x14ac:dyDescent="0.2">
      <c r="F1276" s="33"/>
      <c r="T1276" s="33">
        <v>3.9281999999999997E-2</v>
      </c>
      <c r="V1276" s="32" t="s">
        <v>2671</v>
      </c>
      <c r="X1276" s="32">
        <v>9863124.6805565674</v>
      </c>
    </row>
    <row r="1277" spans="1:28" x14ac:dyDescent="0.2">
      <c r="A1277" s="32">
        <v>16</v>
      </c>
      <c r="B1277" s="32" t="s">
        <v>1725</v>
      </c>
      <c r="D1277" s="33">
        <v>15113155.559999999</v>
      </c>
      <c r="F1277" s="33">
        <v>13762777.979999999</v>
      </c>
      <c r="H1277" s="33">
        <v>591787.48083339399</v>
      </c>
      <c r="I1277" s="33">
        <v>691019.88</v>
      </c>
      <c r="L1277" s="33">
        <v>-748.31999999999994</v>
      </c>
      <c r="N1277" s="33">
        <v>691768.2</v>
      </c>
      <c r="O1277" s="33">
        <v>221975.28</v>
      </c>
      <c r="P1277" s="33">
        <v>469792.92</v>
      </c>
      <c r="Q1277" s="33">
        <v>-3.3068953538494639E-13</v>
      </c>
      <c r="V1277" s="32" t="s">
        <v>2270</v>
      </c>
    </row>
    <row r="1278" spans="1:28" x14ac:dyDescent="0.2">
      <c r="A1278" s="32">
        <v>17</v>
      </c>
      <c r="B1278" s="32" t="s">
        <v>2672</v>
      </c>
      <c r="C1278" s="32" t="s">
        <v>37</v>
      </c>
      <c r="D1278" s="33">
        <v>-194310</v>
      </c>
      <c r="F1278" s="33">
        <v>-170083</v>
      </c>
      <c r="H1278" s="33">
        <v>-10374</v>
      </c>
      <c r="I1278" s="33">
        <v>-13853</v>
      </c>
      <c r="L1278" s="33">
        <v>-2</v>
      </c>
      <c r="N1278" s="33">
        <v>-13851</v>
      </c>
      <c r="O1278" s="33">
        <v>-4399</v>
      </c>
      <c r="P1278" s="33">
        <v>-9452</v>
      </c>
      <c r="Q1278" s="33">
        <v>-3.0419014709389992E-16</v>
      </c>
      <c r="T1278" s="33">
        <v>-194310</v>
      </c>
      <c r="V1278" s="32" t="s">
        <v>410</v>
      </c>
    </row>
    <row r="1279" spans="1:28" x14ac:dyDescent="0.2">
      <c r="A1279" s="32">
        <v>18</v>
      </c>
      <c r="B1279" s="32" t="s">
        <v>2673</v>
      </c>
      <c r="C1279" s="32" t="s">
        <v>2486</v>
      </c>
      <c r="D1279" s="33">
        <v>-148917</v>
      </c>
      <c r="F1279" s="33">
        <v>-137702</v>
      </c>
      <c r="H1279" s="33">
        <v>0</v>
      </c>
      <c r="I1279" s="33">
        <v>-11215</v>
      </c>
      <c r="L1279" s="33">
        <v>0</v>
      </c>
      <c r="N1279" s="33">
        <v>-11215</v>
      </c>
      <c r="O1279" s="33">
        <v>-3562</v>
      </c>
      <c r="P1279" s="33">
        <v>-7653</v>
      </c>
      <c r="Q1279" s="33">
        <v>0</v>
      </c>
      <c r="T1279" s="33">
        <v>-148916</v>
      </c>
      <c r="V1279" s="32" t="s">
        <v>2674</v>
      </c>
      <c r="Z1279" s="32" t="s">
        <v>1726</v>
      </c>
    </row>
    <row r="1280" spans="1:28" x14ac:dyDescent="0.2">
      <c r="A1280" s="32">
        <v>19</v>
      </c>
      <c r="B1280" s="32" t="s">
        <v>2675</v>
      </c>
      <c r="C1280" s="32" t="s">
        <v>2486</v>
      </c>
      <c r="D1280" s="33">
        <v>-1773106</v>
      </c>
      <c r="F1280" s="33">
        <v>-1639580</v>
      </c>
      <c r="H1280" s="33">
        <v>0</v>
      </c>
      <c r="I1280" s="33">
        <v>-133526</v>
      </c>
      <c r="L1280" s="33">
        <v>0</v>
      </c>
      <c r="N1280" s="33">
        <v>-133526</v>
      </c>
      <c r="O1280" s="33">
        <v>-42408</v>
      </c>
      <c r="P1280" s="33">
        <v>-91118</v>
      </c>
      <c r="Q1280" s="33">
        <v>0</v>
      </c>
      <c r="T1280" s="33">
        <v>-1773105</v>
      </c>
      <c r="V1280" s="32" t="s">
        <v>410</v>
      </c>
      <c r="Y1280" s="32">
        <v>-194312</v>
      </c>
      <c r="Z1280" s="32">
        <v>12996822.26</v>
      </c>
      <c r="AA1280" s="32">
        <v>0.29999999888241291</v>
      </c>
    </row>
    <row r="1281" spans="1:27" x14ac:dyDescent="0.2">
      <c r="A1281" s="32">
        <v>20</v>
      </c>
      <c r="B1281" s="32" t="s">
        <v>1727</v>
      </c>
      <c r="D1281" s="33">
        <v>12996822.559999999</v>
      </c>
      <c r="F1281" s="33">
        <v>11815412.979999999</v>
      </c>
      <c r="H1281" s="33">
        <v>581413.48083339399</v>
      </c>
      <c r="I1281" s="33">
        <v>532425.88</v>
      </c>
      <c r="L1281" s="33">
        <v>-750.31999999999994</v>
      </c>
      <c r="N1281" s="33">
        <v>533176.19999999995</v>
      </c>
      <c r="O1281" s="33">
        <v>171606.28</v>
      </c>
      <c r="P1281" s="33">
        <v>361569.92</v>
      </c>
      <c r="Q1281" s="33">
        <v>-3.3099372553204027E-13</v>
      </c>
      <c r="Y1281" s="32">
        <v>-194310.29999999888</v>
      </c>
      <c r="AA1281" s="32" t="s">
        <v>2271</v>
      </c>
    </row>
    <row r="1282" spans="1:27" x14ac:dyDescent="0.2">
      <c r="A1282" s="32">
        <v>21</v>
      </c>
      <c r="B1282" s="32" t="s">
        <v>2676</v>
      </c>
      <c r="C1282" s="32" t="s">
        <v>1846</v>
      </c>
      <c r="D1282" s="33">
        <v>3803487</v>
      </c>
      <c r="F1282" s="33">
        <v>3291881</v>
      </c>
      <c r="H1282" s="33">
        <v>193322</v>
      </c>
      <c r="I1282" s="33">
        <v>318284</v>
      </c>
      <c r="L1282" s="33">
        <v>29</v>
      </c>
      <c r="N1282" s="33">
        <v>318255</v>
      </c>
      <c r="O1282" s="33">
        <v>99304</v>
      </c>
      <c r="P1282" s="33">
        <v>218951</v>
      </c>
      <c r="Q1282" s="33">
        <v>0</v>
      </c>
      <c r="T1282" s="33">
        <v>3803488</v>
      </c>
      <c r="V1282" s="32" t="s">
        <v>2677</v>
      </c>
    </row>
    <row r="1283" spans="1:27" x14ac:dyDescent="0.2">
      <c r="A1283" s="32">
        <v>22</v>
      </c>
      <c r="B1283" s="32" t="s">
        <v>2272</v>
      </c>
      <c r="C1283" s="32" t="s">
        <v>37</v>
      </c>
      <c r="D1283" s="33">
        <v>0</v>
      </c>
      <c r="F1283" s="33">
        <v>0</v>
      </c>
      <c r="H1283" s="33">
        <v>0</v>
      </c>
      <c r="I1283" s="33">
        <v>0</v>
      </c>
      <c r="L1283" s="33">
        <v>0</v>
      </c>
      <c r="N1283" s="33">
        <v>0</v>
      </c>
      <c r="O1283" s="33">
        <v>0</v>
      </c>
      <c r="P1283" s="33">
        <v>0</v>
      </c>
      <c r="Q1283" s="33">
        <v>0</v>
      </c>
      <c r="T1283" s="33">
        <v>0</v>
      </c>
      <c r="V1283" s="32" t="s">
        <v>410</v>
      </c>
    </row>
    <row r="1284" spans="1:27" x14ac:dyDescent="0.2">
      <c r="A1284" s="32">
        <v>23</v>
      </c>
      <c r="B1284" s="32" t="s">
        <v>2678</v>
      </c>
      <c r="D1284" s="33">
        <v>242692590.44</v>
      </c>
      <c r="F1284" s="33">
        <v>220856101.02000001</v>
      </c>
      <c r="H1284" s="33">
        <v>10599483.519166606</v>
      </c>
      <c r="I1284" s="33">
        <v>11302856.120000001</v>
      </c>
      <c r="L1284" s="33">
        <v>-11692.68</v>
      </c>
      <c r="N1284" s="33">
        <v>11314548.800000001</v>
      </c>
      <c r="O1284" s="33">
        <v>3627285.72</v>
      </c>
      <c r="P1284" s="33">
        <v>7687263.0800000001</v>
      </c>
      <c r="Q1284" s="33">
        <v>3.3099372553204027E-13</v>
      </c>
    </row>
    <row r="1285" spans="1:27" x14ac:dyDescent="0.2">
      <c r="F1285" s="33"/>
    </row>
    <row r="1286" spans="1:27" x14ac:dyDescent="0.2">
      <c r="A1286" s="32">
        <v>24</v>
      </c>
      <c r="B1286" s="32" t="s">
        <v>1728</v>
      </c>
      <c r="D1286" s="33">
        <v>84942407</v>
      </c>
      <c r="F1286" s="33">
        <v>77299635</v>
      </c>
      <c r="H1286" s="33">
        <v>3709819</v>
      </c>
      <c r="I1286" s="33">
        <v>3956000</v>
      </c>
      <c r="L1286" s="33">
        <v>-4092</v>
      </c>
      <c r="N1286" s="33">
        <v>3960092</v>
      </c>
      <c r="O1286" s="33">
        <v>1269550</v>
      </c>
      <c r="P1286" s="33">
        <v>2690542</v>
      </c>
      <c r="Q1286" s="33">
        <v>1.1584780393621409E-13</v>
      </c>
    </row>
    <row r="1287" spans="1:27" x14ac:dyDescent="0.2">
      <c r="A1287" s="32">
        <v>25</v>
      </c>
      <c r="B1287" s="32" t="s">
        <v>1729</v>
      </c>
      <c r="C1287" s="32" t="s">
        <v>37</v>
      </c>
      <c r="D1287" s="33">
        <v>0</v>
      </c>
      <c r="F1287" s="33">
        <v>0</v>
      </c>
      <c r="H1287" s="33">
        <v>0</v>
      </c>
      <c r="I1287" s="33">
        <v>0</v>
      </c>
      <c r="L1287" s="33">
        <v>0</v>
      </c>
      <c r="N1287" s="33">
        <v>0</v>
      </c>
      <c r="O1287" s="33">
        <v>0</v>
      </c>
      <c r="P1287" s="33">
        <v>0</v>
      </c>
      <c r="Q1287" s="33">
        <v>0</v>
      </c>
      <c r="V1287" s="32" t="s">
        <v>410</v>
      </c>
    </row>
    <row r="1288" spans="1:27" x14ac:dyDescent="0.2">
      <c r="A1288" s="32">
        <v>26</v>
      </c>
      <c r="B1288" s="32" t="s">
        <v>2679</v>
      </c>
      <c r="C1288" s="32" t="s">
        <v>37</v>
      </c>
      <c r="D1288" s="33">
        <v>-515496</v>
      </c>
      <c r="F1288" s="33">
        <v>-451224</v>
      </c>
      <c r="H1288" s="33">
        <v>-27520</v>
      </c>
      <c r="I1288" s="33">
        <v>-36752</v>
      </c>
      <c r="L1288" s="33">
        <v>-5</v>
      </c>
      <c r="N1288" s="33">
        <v>-36747</v>
      </c>
      <c r="O1288" s="33">
        <v>-11671</v>
      </c>
      <c r="P1288" s="33">
        <v>-25076</v>
      </c>
      <c r="Q1288" s="33">
        <v>-8.0700326316873573E-16</v>
      </c>
      <c r="T1288" s="33">
        <v>-515496</v>
      </c>
      <c r="V1288" s="32" t="s">
        <v>2680</v>
      </c>
    </row>
    <row r="1289" spans="1:27" x14ac:dyDescent="0.2">
      <c r="A1289" s="32">
        <v>27</v>
      </c>
      <c r="B1289" s="32" t="s">
        <v>415</v>
      </c>
      <c r="D1289" s="33">
        <v>0</v>
      </c>
      <c r="F1289" s="33">
        <v>0</v>
      </c>
      <c r="H1289" s="33">
        <v>0</v>
      </c>
      <c r="I1289" s="33">
        <v>0</v>
      </c>
      <c r="L1289" s="33">
        <v>0</v>
      </c>
      <c r="N1289" s="33">
        <v>0</v>
      </c>
      <c r="O1289" s="33">
        <v>0</v>
      </c>
      <c r="P1289" s="33">
        <v>0</v>
      </c>
      <c r="Q1289" s="33">
        <v>0</v>
      </c>
      <c r="Z1289" s="32" t="s">
        <v>1730</v>
      </c>
    </row>
    <row r="1290" spans="1:27" x14ac:dyDescent="0.2">
      <c r="A1290" s="32">
        <v>28</v>
      </c>
      <c r="B1290" s="32" t="s">
        <v>2681</v>
      </c>
      <c r="C1290" s="32" t="s">
        <v>37</v>
      </c>
      <c r="D1290" s="33">
        <v>1137311</v>
      </c>
      <c r="F1290" s="33">
        <v>995510</v>
      </c>
      <c r="H1290" s="33">
        <v>60717</v>
      </c>
      <c r="I1290" s="33">
        <v>81084</v>
      </c>
      <c r="L1290" s="33">
        <v>11</v>
      </c>
      <c r="N1290" s="33">
        <v>81073</v>
      </c>
      <c r="O1290" s="33">
        <v>25749</v>
      </c>
      <c r="P1290" s="33">
        <v>55324</v>
      </c>
      <c r="Q1290" s="33">
        <v>0</v>
      </c>
      <c r="T1290" s="33">
        <v>1137311</v>
      </c>
      <c r="V1290" s="32" t="s">
        <v>410</v>
      </c>
      <c r="Y1290" s="32">
        <v>1137310</v>
      </c>
      <c r="Z1290" s="32">
        <v>85564222.129999995</v>
      </c>
      <c r="AA1290" s="32">
        <v>-0.12999999523162842</v>
      </c>
    </row>
    <row r="1291" spans="1:27" x14ac:dyDescent="0.2">
      <c r="A1291" s="32">
        <v>29</v>
      </c>
      <c r="B1291" s="32" t="s">
        <v>1731</v>
      </c>
      <c r="D1291" s="33">
        <v>85564222</v>
      </c>
      <c r="F1291" s="33">
        <v>77843921</v>
      </c>
      <c r="H1291" s="33">
        <v>3743016</v>
      </c>
      <c r="I1291" s="33">
        <v>4000332</v>
      </c>
      <c r="L1291" s="33">
        <v>-4086</v>
      </c>
      <c r="N1291" s="33">
        <v>4004418</v>
      </c>
      <c r="O1291" s="33">
        <v>1283628</v>
      </c>
      <c r="P1291" s="33">
        <v>2720790</v>
      </c>
      <c r="Q1291" s="33">
        <v>1.1504080067304536E-13</v>
      </c>
      <c r="Y1291" s="32">
        <v>1137311.1299999952</v>
      </c>
      <c r="AA1291" s="32" t="s">
        <v>2271</v>
      </c>
    </row>
    <row r="1292" spans="1:27" x14ac:dyDescent="0.2">
      <c r="F1292" s="33"/>
      <c r="W1292" s="32" t="s">
        <v>2233</v>
      </c>
    </row>
    <row r="1293" spans="1:27" x14ac:dyDescent="0.2">
      <c r="A1293" s="32">
        <v>30</v>
      </c>
      <c r="B1293" s="32" t="s">
        <v>1347</v>
      </c>
      <c r="D1293" s="33">
        <v>224355338.0399999</v>
      </c>
      <c r="F1293" s="33">
        <v>202748923.51282847</v>
      </c>
      <c r="H1293" s="33">
        <v>10418786.490554946</v>
      </c>
      <c r="I1293" s="33">
        <v>11232151.255783213</v>
      </c>
      <c r="L1293" s="33">
        <v>-6969.2761043136124</v>
      </c>
      <c r="N1293" s="33">
        <v>11239120.531887528</v>
      </c>
      <c r="O1293" s="33">
        <v>3596735.4962059716</v>
      </c>
      <c r="P1293" s="33">
        <v>7642385.035681555</v>
      </c>
      <c r="Q1293" s="33">
        <v>-5.188655289092674E-12</v>
      </c>
      <c r="W1293" s="32">
        <v>224355338.11999989</v>
      </c>
      <c r="X1293" s="32">
        <v>-7.9999983310699463E-2</v>
      </c>
    </row>
    <row r="1294" spans="1:27" x14ac:dyDescent="0.2">
      <c r="A1294" s="32">
        <v>31</v>
      </c>
      <c r="B1294" s="32" t="s">
        <v>1348</v>
      </c>
      <c r="D1294" s="33">
        <v>5.6409979363913343E-2</v>
      </c>
      <c r="F1294" s="33">
        <v>5.7106326001415242E-2</v>
      </c>
      <c r="H1294" s="33">
        <v>4.8114778267614421E-2</v>
      </c>
      <c r="I1294" s="33">
        <v>3.8841899407701122E-2</v>
      </c>
      <c r="L1294" s="33">
        <v>-0.18415222334440329</v>
      </c>
      <c r="N1294" s="33">
        <v>3.8871087013870091E-2</v>
      </c>
      <c r="O1294" s="33">
        <v>3.9167125291229517E-2</v>
      </c>
      <c r="P1294" s="33">
        <v>3.873330570017721E-2</v>
      </c>
      <c r="Q1294" s="33">
        <v>-0.81714099136849638</v>
      </c>
    </row>
    <row r="1295" spans="1:27" x14ac:dyDescent="0.2">
      <c r="F1295" s="33"/>
    </row>
    <row r="1296" spans="1:27" x14ac:dyDescent="0.2">
      <c r="F1296" s="33"/>
    </row>
    <row r="1297" spans="1:25" x14ac:dyDescent="0.2">
      <c r="B1297" s="32" t="s">
        <v>1732</v>
      </c>
      <c r="D1297" s="33">
        <v>0.06</v>
      </c>
      <c r="F1297" s="33">
        <v>0.06</v>
      </c>
      <c r="H1297" s="33">
        <v>0.06</v>
      </c>
      <c r="I1297" s="33">
        <v>0.06</v>
      </c>
      <c r="L1297" s="33">
        <v>0.06</v>
      </c>
      <c r="N1297" s="33">
        <v>0.06</v>
      </c>
      <c r="O1297" s="33">
        <v>0.06</v>
      </c>
      <c r="P1297" s="33">
        <v>0.06</v>
      </c>
      <c r="Q1297" s="33">
        <v>0.06</v>
      </c>
    </row>
    <row r="1298" spans="1:25" x14ac:dyDescent="0.2">
      <c r="B1298" s="32" t="s">
        <v>1733</v>
      </c>
      <c r="D1298" s="33">
        <v>0.35</v>
      </c>
      <c r="F1298" s="33">
        <v>0.35</v>
      </c>
      <c r="H1298" s="33">
        <v>0.35</v>
      </c>
      <c r="I1298" s="33">
        <v>0.35</v>
      </c>
      <c r="L1298" s="33">
        <v>0.35</v>
      </c>
      <c r="N1298" s="33">
        <v>0.35</v>
      </c>
      <c r="O1298" s="33">
        <v>0.35</v>
      </c>
      <c r="P1298" s="33">
        <v>0.35</v>
      </c>
      <c r="Q1298" s="33">
        <v>0.35</v>
      </c>
    </row>
    <row r="1299" spans="1:25" x14ac:dyDescent="0.2">
      <c r="B1299" s="32" t="s">
        <v>1734</v>
      </c>
      <c r="D1299" s="33">
        <v>0.61099999999999999</v>
      </c>
      <c r="F1299" s="33">
        <v>0.61099999999999999</v>
      </c>
      <c r="H1299" s="33">
        <v>0.61099999999999999</v>
      </c>
      <c r="I1299" s="33">
        <v>0.61099999999999999</v>
      </c>
      <c r="L1299" s="33">
        <v>0.61099999999999999</v>
      </c>
      <c r="N1299" s="33">
        <v>0.61099999999999999</v>
      </c>
      <c r="O1299" s="33">
        <v>0.61099999999999999</v>
      </c>
      <c r="P1299" s="33">
        <v>0.61099999999999999</v>
      </c>
      <c r="Q1299" s="33">
        <v>0.61099999999999999</v>
      </c>
    </row>
    <row r="1300" spans="1:25" x14ac:dyDescent="0.2">
      <c r="B1300" s="32" t="s">
        <v>1735</v>
      </c>
      <c r="D1300" s="33">
        <v>0.38899999999999996</v>
      </c>
      <c r="F1300" s="33">
        <v>0.38899999999999996</v>
      </c>
      <c r="H1300" s="33">
        <v>0.38899999999999996</v>
      </c>
      <c r="I1300" s="33">
        <v>0.38899999999999996</v>
      </c>
      <c r="L1300" s="33">
        <v>0.38899999999999996</v>
      </c>
      <c r="N1300" s="33">
        <v>0.38899999999999996</v>
      </c>
      <c r="O1300" s="33">
        <v>0.38899999999999996</v>
      </c>
      <c r="P1300" s="33">
        <v>0.38899999999999996</v>
      </c>
      <c r="Q1300" s="33">
        <v>0.38899999999999996</v>
      </c>
    </row>
    <row r="1301" spans="1:25" x14ac:dyDescent="0.2">
      <c r="B1301" s="32" t="s">
        <v>1736</v>
      </c>
      <c r="D1301" s="33">
        <v>1.6366612111292962</v>
      </c>
      <c r="F1301" s="33">
        <v>1.6366612111292962</v>
      </c>
      <c r="H1301" s="33">
        <v>1.6366612111292962</v>
      </c>
      <c r="I1301" s="33">
        <v>1.6366612111292962</v>
      </c>
      <c r="L1301" s="33">
        <v>1.6366612111292962</v>
      </c>
      <c r="N1301" s="33">
        <v>1.6366612111292962</v>
      </c>
      <c r="O1301" s="33">
        <v>1.6366612111292962</v>
      </c>
      <c r="P1301" s="33">
        <v>1.6366612111292962</v>
      </c>
      <c r="Q1301" s="33">
        <v>1.6366612111292962</v>
      </c>
    </row>
    <row r="1302" spans="1:25" x14ac:dyDescent="0.2">
      <c r="F1302" s="33"/>
    </row>
    <row r="1303" spans="1:25" x14ac:dyDescent="0.2">
      <c r="F1303" s="33"/>
    </row>
    <row r="1304" spans="1:25" x14ac:dyDescent="0.2">
      <c r="F1304" s="33"/>
    </row>
    <row r="1305" spans="1:25" x14ac:dyDescent="0.2">
      <c r="F1305" s="33"/>
    </row>
    <row r="1306" spans="1:25" x14ac:dyDescent="0.2">
      <c r="B1306" s="32" t="s">
        <v>1090</v>
      </c>
      <c r="F1306" s="33"/>
    </row>
    <row r="1307" spans="1:25" x14ac:dyDescent="0.2">
      <c r="F1307" s="33"/>
    </row>
    <row r="1308" spans="1:25" x14ac:dyDescent="0.2">
      <c r="B1308" s="32" t="s">
        <v>1091</v>
      </c>
      <c r="F1308" s="33"/>
    </row>
    <row r="1309" spans="1:25" x14ac:dyDescent="0.2">
      <c r="B1309" s="32" t="s">
        <v>1092</v>
      </c>
      <c r="F1309" s="33"/>
    </row>
    <row r="1310" spans="1:25" x14ac:dyDescent="0.2">
      <c r="B1310" s="32" t="s">
        <v>1093</v>
      </c>
      <c r="F1310" s="33"/>
    </row>
    <row r="1311" spans="1:25" x14ac:dyDescent="0.2">
      <c r="A1311" s="32">
        <v>1</v>
      </c>
      <c r="B1311" s="32" t="s">
        <v>1094</v>
      </c>
      <c r="C1311" s="32" t="s">
        <v>1795</v>
      </c>
      <c r="D1311" s="33">
        <v>3499087.08</v>
      </c>
      <c r="F1311" s="33">
        <v>3035692.05574243</v>
      </c>
      <c r="H1311" s="33">
        <v>160510.33260387252</v>
      </c>
      <c r="I1311" s="33">
        <v>302884.69165369758</v>
      </c>
      <c r="L1311" s="33">
        <v>16.687558299686359</v>
      </c>
      <c r="N1311" s="33">
        <v>302868.00409539789</v>
      </c>
      <c r="O1311" s="33">
        <v>98870.218592800971</v>
      </c>
      <c r="P1311" s="33">
        <v>203997.78550259693</v>
      </c>
      <c r="Q1311" s="33">
        <v>0</v>
      </c>
      <c r="T1311" s="33">
        <v>3499087.08</v>
      </c>
      <c r="U1311" s="32">
        <v>501</v>
      </c>
      <c r="W1311" s="32">
        <v>3499087.08</v>
      </c>
      <c r="X1311" s="32">
        <v>0</v>
      </c>
      <c r="Y1311" s="32" t="s">
        <v>2273</v>
      </c>
    </row>
    <row r="1312" spans="1:25" x14ac:dyDescent="0.2">
      <c r="A1312" s="32">
        <v>2</v>
      </c>
      <c r="B1312" s="32" t="s">
        <v>1095</v>
      </c>
      <c r="C1312" s="32" t="s">
        <v>1795</v>
      </c>
      <c r="D1312" s="33">
        <v>6556678.6600000001</v>
      </c>
      <c r="F1312" s="33">
        <v>5688357.2386594964</v>
      </c>
      <c r="H1312" s="33">
        <v>300768.35712625744</v>
      </c>
      <c r="I1312" s="33">
        <v>567553.06421424623</v>
      </c>
      <c r="L1312" s="33">
        <v>31.269572574072502</v>
      </c>
      <c r="N1312" s="33">
        <v>567521.79464167217</v>
      </c>
      <c r="O1312" s="33">
        <v>185265.53856354824</v>
      </c>
      <c r="P1312" s="33">
        <v>382256.25607812387</v>
      </c>
      <c r="Q1312" s="33">
        <v>0</v>
      </c>
      <c r="T1312" s="33">
        <v>6556678.6600000001</v>
      </c>
      <c r="U1312" s="32">
        <v>510</v>
      </c>
      <c r="W1312" s="32">
        <v>6556678.6600000001</v>
      </c>
      <c r="X1312" s="32">
        <v>0</v>
      </c>
      <c r="Y1312" s="32" t="s">
        <v>2273</v>
      </c>
    </row>
    <row r="1313" spans="1:25" x14ac:dyDescent="0.2">
      <c r="A1313" s="32">
        <v>3</v>
      </c>
      <c r="B1313" s="32" t="s">
        <v>1096</v>
      </c>
      <c r="C1313" s="32" t="s">
        <v>1795</v>
      </c>
      <c r="D1313" s="33">
        <v>9034370.0099999998</v>
      </c>
      <c r="F1313" s="33">
        <v>7837920.1891696434</v>
      </c>
      <c r="H1313" s="33">
        <v>414425.16348337097</v>
      </c>
      <c r="I1313" s="33">
        <v>782024.65734698507</v>
      </c>
      <c r="L1313" s="33">
        <v>43.085974368723917</v>
      </c>
      <c r="N1313" s="33">
        <v>781981.57137261634</v>
      </c>
      <c r="O1313" s="33">
        <v>255275.19530521243</v>
      </c>
      <c r="P1313" s="33">
        <v>526706.37606740394</v>
      </c>
      <c r="Q1313" s="33">
        <v>0</v>
      </c>
      <c r="T1313" s="33">
        <v>9034370.0099999998</v>
      </c>
      <c r="U1313" s="32">
        <v>512</v>
      </c>
      <c r="W1313" s="32">
        <v>9034370.0099999998</v>
      </c>
      <c r="X1313" s="32">
        <v>0</v>
      </c>
      <c r="Y1313" s="32" t="s">
        <v>2273</v>
      </c>
    </row>
    <row r="1314" spans="1:25" x14ac:dyDescent="0.2">
      <c r="A1314" s="32">
        <v>4</v>
      </c>
      <c r="B1314" s="32" t="s">
        <v>1097</v>
      </c>
      <c r="C1314" s="32" t="s">
        <v>1795</v>
      </c>
      <c r="D1314" s="33">
        <v>2257567.96</v>
      </c>
      <c r="F1314" s="33">
        <v>1958591.1881537521</v>
      </c>
      <c r="H1314" s="33">
        <v>103559.29299577362</v>
      </c>
      <c r="I1314" s="33">
        <v>195417.47885047406</v>
      </c>
      <c r="L1314" s="33">
        <v>10.766607428359285</v>
      </c>
      <c r="N1314" s="33">
        <v>195406.71224304571</v>
      </c>
      <c r="O1314" s="33">
        <v>63789.849349306205</v>
      </c>
      <c r="P1314" s="33">
        <v>131616.86289373951</v>
      </c>
      <c r="Q1314" s="33">
        <v>0</v>
      </c>
      <c r="T1314" s="33">
        <v>2257567.96</v>
      </c>
      <c r="U1314" s="32">
        <v>513</v>
      </c>
      <c r="W1314" s="32">
        <v>2257567.96</v>
      </c>
      <c r="X1314" s="32">
        <v>0</v>
      </c>
      <c r="Y1314" s="32" t="s">
        <v>2273</v>
      </c>
    </row>
    <row r="1315" spans="1:25" x14ac:dyDescent="0.2">
      <c r="A1315" s="32">
        <v>5</v>
      </c>
      <c r="B1315" s="32" t="s">
        <v>1098</v>
      </c>
      <c r="C1315" s="32" t="s">
        <v>1795</v>
      </c>
      <c r="D1315" s="33">
        <v>0</v>
      </c>
      <c r="F1315" s="33">
        <v>0</v>
      </c>
      <c r="H1315" s="33">
        <v>0</v>
      </c>
      <c r="I1315" s="33">
        <v>0</v>
      </c>
      <c r="L1315" s="33">
        <v>0</v>
      </c>
      <c r="N1315" s="33">
        <v>0</v>
      </c>
      <c r="O1315" s="33">
        <v>0</v>
      </c>
      <c r="P1315" s="33">
        <v>0</v>
      </c>
      <c r="Q1315" s="33">
        <v>0</v>
      </c>
      <c r="T1315" s="33">
        <v>0</v>
      </c>
      <c r="U1315" s="32">
        <v>547</v>
      </c>
      <c r="W1315" s="32">
        <v>0</v>
      </c>
      <c r="X1315" s="32">
        <v>0</v>
      </c>
      <c r="Y1315" s="32" t="s">
        <v>2273</v>
      </c>
    </row>
    <row r="1316" spans="1:25" x14ac:dyDescent="0.2">
      <c r="F1316" s="33"/>
    </row>
    <row r="1317" spans="1:25" x14ac:dyDescent="0.2">
      <c r="A1317" s="32">
        <v>6</v>
      </c>
      <c r="B1317" s="32" t="s">
        <v>1099</v>
      </c>
      <c r="D1317" s="33">
        <v>21347703.709999997</v>
      </c>
      <c r="F1317" s="33">
        <v>18520560.671725322</v>
      </c>
      <c r="H1317" s="33">
        <v>979263.14620927454</v>
      </c>
      <c r="I1317" s="33">
        <v>1847879.8920654031</v>
      </c>
      <c r="L1317" s="33">
        <v>101.80971267084205</v>
      </c>
      <c r="N1317" s="33">
        <v>1847778.0823527321</v>
      </c>
      <c r="O1317" s="33">
        <v>603200.80181086785</v>
      </c>
      <c r="P1317" s="33">
        <v>1244577.2805418642</v>
      </c>
      <c r="Q1317" s="33">
        <v>0</v>
      </c>
    </row>
    <row r="1318" spans="1:25" x14ac:dyDescent="0.2">
      <c r="F1318" s="33"/>
    </row>
    <row r="1319" spans="1:25" x14ac:dyDescent="0.2">
      <c r="B1319" s="32" t="s">
        <v>1100</v>
      </c>
      <c r="F1319" s="33"/>
    </row>
    <row r="1320" spans="1:25" x14ac:dyDescent="0.2">
      <c r="A1320" s="32">
        <v>7</v>
      </c>
      <c r="B1320" s="32" t="s">
        <v>1101</v>
      </c>
      <c r="C1320" s="32" t="s">
        <v>1202</v>
      </c>
      <c r="D1320" s="33">
        <v>4888803.6400000006</v>
      </c>
      <c r="F1320" s="33">
        <v>4189374.1917603221</v>
      </c>
      <c r="H1320" s="33">
        <v>253574.95393345301</v>
      </c>
      <c r="I1320" s="33">
        <v>445854.49430622562</v>
      </c>
      <c r="L1320" s="33">
        <v>37.041480014061264</v>
      </c>
      <c r="N1320" s="33">
        <v>445817.45282621158</v>
      </c>
      <c r="O1320" s="33">
        <v>139106.35668320916</v>
      </c>
      <c r="P1320" s="33">
        <v>306711.09614300245</v>
      </c>
      <c r="Q1320" s="33">
        <v>0</v>
      </c>
      <c r="T1320" s="33">
        <v>4888803.6400000006</v>
      </c>
      <c r="U1320" s="32">
        <v>500</v>
      </c>
      <c r="W1320" s="32">
        <v>4888803.6400000006</v>
      </c>
      <c r="X1320" s="32">
        <v>0</v>
      </c>
      <c r="Y1320" s="32" t="s">
        <v>2273</v>
      </c>
    </row>
    <row r="1321" spans="1:25" x14ac:dyDescent="0.2">
      <c r="A1321" s="32">
        <v>8</v>
      </c>
      <c r="B1321" s="32" t="s">
        <v>1102</v>
      </c>
      <c r="C1321" s="32" t="s">
        <v>1202</v>
      </c>
      <c r="D1321" s="33">
        <v>9216022.9000000004</v>
      </c>
      <c r="F1321" s="33">
        <v>7897508.5380872684</v>
      </c>
      <c r="H1321" s="33">
        <v>478021.36359012115</v>
      </c>
      <c r="I1321" s="33">
        <v>840492.99832261109</v>
      </c>
      <c r="L1321" s="33">
        <v>69.827948348418616</v>
      </c>
      <c r="N1321" s="33">
        <v>840423.17037426273</v>
      </c>
      <c r="O1321" s="33">
        <v>262233.35260158323</v>
      </c>
      <c r="P1321" s="33">
        <v>578189.8177726795</v>
      </c>
      <c r="Q1321" s="33">
        <v>0</v>
      </c>
      <c r="T1321" s="33">
        <v>9216022.9000000004</v>
      </c>
      <c r="U1321" s="32">
        <v>502</v>
      </c>
      <c r="W1321" s="32">
        <v>9216022.9000000004</v>
      </c>
      <c r="X1321" s="32">
        <v>0</v>
      </c>
      <c r="Y1321" s="32" t="s">
        <v>2273</v>
      </c>
    </row>
    <row r="1322" spans="1:25" x14ac:dyDescent="0.2">
      <c r="A1322" s="32">
        <v>9</v>
      </c>
      <c r="B1322" s="32" t="s">
        <v>1103</v>
      </c>
      <c r="C1322" s="32" t="s">
        <v>1202</v>
      </c>
      <c r="D1322" s="33">
        <v>6422402.6799999997</v>
      </c>
      <c r="F1322" s="33">
        <v>5503564.8837563703</v>
      </c>
      <c r="H1322" s="33">
        <v>333120.44901911519</v>
      </c>
      <c r="I1322" s="33">
        <v>585717.347224514</v>
      </c>
      <c r="L1322" s="33">
        <v>48.66125089725908</v>
      </c>
      <c r="N1322" s="33">
        <v>585668.68597361678</v>
      </c>
      <c r="O1322" s="33">
        <v>182743.48976864986</v>
      </c>
      <c r="P1322" s="33">
        <v>402925.19620496687</v>
      </c>
      <c r="Q1322" s="33">
        <v>0</v>
      </c>
      <c r="T1322" s="33">
        <v>6422402.6799999997</v>
      </c>
      <c r="U1322" s="32">
        <v>505</v>
      </c>
      <c r="W1322" s="32">
        <v>6422402.6799999997</v>
      </c>
      <c r="X1322" s="32">
        <v>0</v>
      </c>
      <c r="Y1322" s="32" t="s">
        <v>2273</v>
      </c>
    </row>
    <row r="1323" spans="1:25" x14ac:dyDescent="0.2">
      <c r="A1323" s="32">
        <v>10</v>
      </c>
      <c r="B1323" s="32" t="s">
        <v>1104</v>
      </c>
      <c r="C1323" s="32" t="s">
        <v>1202</v>
      </c>
      <c r="D1323" s="33">
        <v>1529894.1400000001</v>
      </c>
      <c r="F1323" s="33">
        <v>1311015.8431810839</v>
      </c>
      <c r="H1323" s="33">
        <v>79353.327447931544</v>
      </c>
      <c r="I1323" s="33">
        <v>139524.96937098459</v>
      </c>
      <c r="L1323" s="33">
        <v>11.591699602489955</v>
      </c>
      <c r="N1323" s="33">
        <v>139513.3776713821</v>
      </c>
      <c r="O1323" s="33">
        <v>43531.713604760676</v>
      </c>
      <c r="P1323" s="33">
        <v>95981.664066621423</v>
      </c>
      <c r="Q1323" s="33">
        <v>0</v>
      </c>
      <c r="T1323" s="33">
        <v>1529894.1400000001</v>
      </c>
      <c r="U1323" s="32">
        <v>506</v>
      </c>
      <c r="W1323" s="32">
        <v>1529894.1400000001</v>
      </c>
      <c r="X1323" s="32">
        <v>0</v>
      </c>
      <c r="Y1323" s="32" t="s">
        <v>2273</v>
      </c>
    </row>
    <row r="1324" spans="1:25" x14ac:dyDescent="0.2">
      <c r="A1324" s="32">
        <v>11</v>
      </c>
      <c r="B1324" s="32" t="s">
        <v>1105</v>
      </c>
      <c r="C1324" s="32" t="s">
        <v>1202</v>
      </c>
      <c r="D1324" s="33">
        <v>0</v>
      </c>
      <c r="F1324" s="33">
        <v>0</v>
      </c>
      <c r="H1324" s="33">
        <v>0</v>
      </c>
      <c r="I1324" s="33">
        <v>0</v>
      </c>
      <c r="L1324" s="33">
        <v>0</v>
      </c>
      <c r="N1324" s="33">
        <v>0</v>
      </c>
      <c r="O1324" s="33">
        <v>0</v>
      </c>
      <c r="P1324" s="33">
        <v>0</v>
      </c>
      <c r="Q1324" s="33">
        <v>0</v>
      </c>
      <c r="T1324" s="33">
        <v>0</v>
      </c>
      <c r="U1324" s="32">
        <v>509</v>
      </c>
      <c r="W1324" s="32">
        <v>0</v>
      </c>
      <c r="X1324" s="32">
        <v>0</v>
      </c>
      <c r="Y1324" s="32" t="s">
        <v>2273</v>
      </c>
    </row>
    <row r="1325" spans="1:25" x14ac:dyDescent="0.2">
      <c r="A1325" s="32">
        <v>12</v>
      </c>
      <c r="B1325" s="32" t="s">
        <v>1106</v>
      </c>
      <c r="C1325" s="32" t="s">
        <v>1202</v>
      </c>
      <c r="D1325" s="33">
        <v>1154804</v>
      </c>
      <c r="F1325" s="33">
        <v>989588.95271596266</v>
      </c>
      <c r="H1325" s="33">
        <v>59897.961273438916</v>
      </c>
      <c r="I1325" s="33">
        <v>105317.0860105984</v>
      </c>
      <c r="L1325" s="33">
        <v>8.7497171979192032</v>
      </c>
      <c r="N1325" s="33">
        <v>105308.33629340048</v>
      </c>
      <c r="O1325" s="33">
        <v>32858.872835235539</v>
      </c>
      <c r="P1325" s="33">
        <v>72449.463458164944</v>
      </c>
      <c r="Q1325" s="33">
        <v>0</v>
      </c>
      <c r="T1325" s="33">
        <v>1154804</v>
      </c>
      <c r="U1325" s="32">
        <v>511</v>
      </c>
      <c r="W1325" s="32">
        <v>1154804</v>
      </c>
      <c r="X1325" s="32">
        <v>0</v>
      </c>
      <c r="Y1325" s="32" t="s">
        <v>2273</v>
      </c>
    </row>
    <row r="1326" spans="1:25" x14ac:dyDescent="0.2">
      <c r="A1326" s="32">
        <v>13</v>
      </c>
      <c r="B1326" s="32" t="s">
        <v>1107</v>
      </c>
      <c r="C1326" s="32" t="s">
        <v>1202</v>
      </c>
      <c r="D1326" s="33">
        <v>224143.89</v>
      </c>
      <c r="F1326" s="33">
        <v>192076.15955848954</v>
      </c>
      <c r="H1326" s="33">
        <v>11626.009299325213</v>
      </c>
      <c r="I1326" s="33">
        <v>20441.721142185263</v>
      </c>
      <c r="L1326" s="33">
        <v>1.6982930862219998</v>
      </c>
      <c r="N1326" s="33">
        <v>20440.022849099041</v>
      </c>
      <c r="O1326" s="33">
        <v>6377.8057387271119</v>
      </c>
      <c r="P1326" s="33">
        <v>14062.217110371928</v>
      </c>
      <c r="Q1326" s="33">
        <v>0</v>
      </c>
      <c r="T1326" s="33">
        <v>224143.89</v>
      </c>
      <c r="U1326" s="32">
        <v>514</v>
      </c>
      <c r="W1326" s="32">
        <v>224143.89</v>
      </c>
      <c r="X1326" s="32">
        <v>0</v>
      </c>
      <c r="Y1326" s="32" t="s">
        <v>2273</v>
      </c>
    </row>
    <row r="1327" spans="1:25" x14ac:dyDescent="0.2">
      <c r="A1327" s="32">
        <v>14</v>
      </c>
      <c r="B1327" s="32" t="s">
        <v>1513</v>
      </c>
      <c r="C1327" s="32" t="s">
        <v>1202</v>
      </c>
      <c r="D1327" s="33">
        <v>7943.9700000000012</v>
      </c>
      <c r="F1327" s="33">
        <v>6807.4452051664412</v>
      </c>
      <c r="H1327" s="33">
        <v>412.04187673177495</v>
      </c>
      <c r="I1327" s="33">
        <v>724.48291810178489</v>
      </c>
      <c r="L1327" s="33">
        <v>6.0189859862586396E-2</v>
      </c>
      <c r="N1327" s="33">
        <v>724.4227282419223</v>
      </c>
      <c r="O1327" s="33">
        <v>226.03827146158667</v>
      </c>
      <c r="P1327" s="33">
        <v>498.3844567803356</v>
      </c>
      <c r="Q1327" s="33">
        <v>0</v>
      </c>
      <c r="T1327" s="33">
        <v>7943.9700000000012</v>
      </c>
      <c r="U1327" s="32">
        <v>535</v>
      </c>
      <c r="W1327" s="32">
        <v>7943.9700000000012</v>
      </c>
      <c r="X1327" s="32">
        <v>0</v>
      </c>
      <c r="Y1327" s="32" t="s">
        <v>2273</v>
      </c>
    </row>
    <row r="1328" spans="1:25" x14ac:dyDescent="0.2">
      <c r="A1328" s="32">
        <v>15</v>
      </c>
      <c r="B1328" s="32" t="s">
        <v>1514</v>
      </c>
      <c r="C1328" s="32" t="s">
        <v>1202</v>
      </c>
      <c r="D1328" s="33">
        <v>0</v>
      </c>
      <c r="F1328" s="33">
        <v>0</v>
      </c>
      <c r="H1328" s="33">
        <v>0</v>
      </c>
      <c r="I1328" s="33">
        <v>0</v>
      </c>
      <c r="L1328" s="33">
        <v>0</v>
      </c>
      <c r="N1328" s="33">
        <v>0</v>
      </c>
      <c r="O1328" s="33">
        <v>0</v>
      </c>
      <c r="P1328" s="33">
        <v>0</v>
      </c>
      <c r="Q1328" s="33">
        <v>0</v>
      </c>
      <c r="T1328" s="33">
        <v>0</v>
      </c>
      <c r="U1328" s="32">
        <v>538</v>
      </c>
      <c r="W1328" s="32">
        <v>0</v>
      </c>
      <c r="X1328" s="32">
        <v>0</v>
      </c>
      <c r="Y1328" s="32" t="s">
        <v>2273</v>
      </c>
    </row>
    <row r="1329" spans="1:25" x14ac:dyDescent="0.2">
      <c r="A1329" s="32">
        <v>16</v>
      </c>
      <c r="B1329" s="32" t="s">
        <v>1515</v>
      </c>
      <c r="C1329" s="32" t="s">
        <v>1202</v>
      </c>
      <c r="D1329" s="33">
        <v>5361.8</v>
      </c>
      <c r="F1329" s="33">
        <v>4594.7000934119114</v>
      </c>
      <c r="H1329" s="33">
        <v>278.10856972778481</v>
      </c>
      <c r="I1329" s="33">
        <v>488.99133686030405</v>
      </c>
      <c r="L1329" s="33">
        <v>4.0625278118021052E-2</v>
      </c>
      <c r="N1329" s="33">
        <v>488.95071158218605</v>
      </c>
      <c r="O1329" s="33">
        <v>152.56502780382294</v>
      </c>
      <c r="P1329" s="33">
        <v>336.3856837783631</v>
      </c>
      <c r="Q1329" s="33">
        <v>0</v>
      </c>
      <c r="T1329" s="33">
        <v>5361.8</v>
      </c>
      <c r="U1329" s="32">
        <v>539</v>
      </c>
      <c r="W1329" s="32">
        <v>5361.8</v>
      </c>
      <c r="X1329" s="32">
        <v>0</v>
      </c>
      <c r="Y1329" s="32" t="s">
        <v>2273</v>
      </c>
    </row>
    <row r="1330" spans="1:25" x14ac:dyDescent="0.2">
      <c r="A1330" s="32">
        <v>17</v>
      </c>
      <c r="B1330" s="32" t="s">
        <v>1516</v>
      </c>
      <c r="C1330" s="32" t="s">
        <v>1202</v>
      </c>
      <c r="D1330" s="33">
        <v>108731.89</v>
      </c>
      <c r="F1330" s="33">
        <v>93175.878462429348</v>
      </c>
      <c r="H1330" s="33">
        <v>5639.7609779735967</v>
      </c>
      <c r="I1330" s="33">
        <v>9916.2505595970615</v>
      </c>
      <c r="L1330" s="33">
        <v>0.82383961944646811</v>
      </c>
      <c r="N1330" s="33">
        <v>9915.426719977615</v>
      </c>
      <c r="O1330" s="33">
        <v>3093.8647135313176</v>
      </c>
      <c r="P1330" s="33">
        <v>6821.5620064462983</v>
      </c>
      <c r="Q1330" s="33">
        <v>0</v>
      </c>
      <c r="T1330" s="33">
        <v>108731.89000000001</v>
      </c>
      <c r="U1330" s="32">
        <v>541</v>
      </c>
      <c r="W1330" s="32">
        <v>108731.89000000001</v>
      </c>
      <c r="X1330" s="32">
        <v>0</v>
      </c>
      <c r="Y1330" s="32" t="s">
        <v>2273</v>
      </c>
    </row>
    <row r="1331" spans="1:25" x14ac:dyDescent="0.2">
      <c r="A1331" s="32">
        <v>18</v>
      </c>
      <c r="B1331" s="32" t="s">
        <v>1517</v>
      </c>
      <c r="C1331" s="32" t="s">
        <v>1202</v>
      </c>
      <c r="D1331" s="33">
        <v>22545.720000000005</v>
      </c>
      <c r="F1331" s="33">
        <v>19320.157743675409</v>
      </c>
      <c r="H1331" s="33">
        <v>1169.4128730432155</v>
      </c>
      <c r="I1331" s="33">
        <v>2056.1493832813785</v>
      </c>
      <c r="L1331" s="33">
        <v>0.17082437714406162</v>
      </c>
      <c r="N1331" s="33">
        <v>2055.9785589042344</v>
      </c>
      <c r="O1331" s="33">
        <v>641.51747522421704</v>
      </c>
      <c r="P1331" s="33">
        <v>1414.4610836800173</v>
      </c>
      <c r="Q1331" s="33">
        <v>0</v>
      </c>
      <c r="T1331" s="33">
        <v>22545.72</v>
      </c>
      <c r="U1331" s="32">
        <v>542</v>
      </c>
      <c r="W1331" s="32">
        <v>22545.72</v>
      </c>
      <c r="X1331" s="32">
        <v>0</v>
      </c>
      <c r="Y1331" s="32" t="s">
        <v>2273</v>
      </c>
    </row>
    <row r="1332" spans="1:25" x14ac:dyDescent="0.2">
      <c r="A1332" s="32">
        <v>19</v>
      </c>
      <c r="B1332" s="32" t="s">
        <v>1518</v>
      </c>
      <c r="C1332" s="32" t="s">
        <v>1202</v>
      </c>
      <c r="D1332" s="33">
        <v>53549.56</v>
      </c>
      <c r="F1332" s="33">
        <v>45888.352481287387</v>
      </c>
      <c r="H1332" s="33">
        <v>2777.5358165452262</v>
      </c>
      <c r="I1332" s="33">
        <v>4883.6717021673803</v>
      </c>
      <c r="L1332" s="33">
        <v>0.40573422509188245</v>
      </c>
      <c r="N1332" s="33">
        <v>4883.2659679422886</v>
      </c>
      <c r="O1332" s="33">
        <v>1523.7028815477047</v>
      </c>
      <c r="P1332" s="33">
        <v>3359.5630863945839</v>
      </c>
      <c r="Q1332" s="33">
        <v>0</v>
      </c>
      <c r="T1332" s="33">
        <v>53549.56</v>
      </c>
      <c r="U1332" s="32">
        <v>544</v>
      </c>
      <c r="W1332" s="32">
        <v>53549.56</v>
      </c>
      <c r="X1332" s="32">
        <v>0</v>
      </c>
      <c r="Y1332" s="32" t="s">
        <v>2273</v>
      </c>
    </row>
    <row r="1333" spans="1:25" x14ac:dyDescent="0.2">
      <c r="A1333" s="32">
        <v>20</v>
      </c>
      <c r="B1333" s="32" t="s">
        <v>1519</v>
      </c>
      <c r="C1333" s="32" t="s">
        <v>1202</v>
      </c>
      <c r="D1333" s="33">
        <v>3544.4399999999996</v>
      </c>
      <c r="F1333" s="33">
        <v>3037.345443525106</v>
      </c>
      <c r="H1333" s="33">
        <v>183.84481683127859</v>
      </c>
      <c r="I1333" s="33">
        <v>323.24973964361521</v>
      </c>
      <c r="L1333" s="33">
        <v>2.6855507622932324E-2</v>
      </c>
      <c r="N1333" s="33">
        <v>323.22288413599227</v>
      </c>
      <c r="O1333" s="33">
        <v>100.85374074918538</v>
      </c>
      <c r="P1333" s="33">
        <v>222.36914338680691</v>
      </c>
      <c r="Q1333" s="33">
        <v>0</v>
      </c>
      <c r="T1333" s="33">
        <v>3544.44</v>
      </c>
      <c r="U1333" s="32">
        <v>545</v>
      </c>
      <c r="W1333" s="32">
        <v>3544.44</v>
      </c>
      <c r="X1333" s="32">
        <v>0</v>
      </c>
      <c r="Y1333" s="32" t="s">
        <v>2273</v>
      </c>
    </row>
    <row r="1334" spans="1:25" x14ac:dyDescent="0.2">
      <c r="A1334" s="32">
        <v>21</v>
      </c>
      <c r="B1334" s="32" t="s">
        <v>1520</v>
      </c>
      <c r="C1334" s="32" t="s">
        <v>1202</v>
      </c>
      <c r="D1334" s="33">
        <v>202548.6</v>
      </c>
      <c r="F1334" s="33">
        <v>173570.45606707671</v>
      </c>
      <c r="H1334" s="33">
        <v>10505.893812966764</v>
      </c>
      <c r="I1334" s="33">
        <v>18472.250119956541</v>
      </c>
      <c r="L1334" s="33">
        <v>1.53466992566224</v>
      </c>
      <c r="N1334" s="33">
        <v>18470.715450030879</v>
      </c>
      <c r="O1334" s="33">
        <v>5763.3318644159444</v>
      </c>
      <c r="P1334" s="33">
        <v>12707.383585614934</v>
      </c>
      <c r="Q1334" s="33">
        <v>0</v>
      </c>
      <c r="T1334" s="33">
        <v>202548.6</v>
      </c>
      <c r="U1334" s="32">
        <v>546</v>
      </c>
      <c r="W1334" s="32">
        <v>202548.6</v>
      </c>
      <c r="X1334" s="32">
        <v>0</v>
      </c>
      <c r="Y1334" s="32" t="s">
        <v>2273</v>
      </c>
    </row>
    <row r="1335" spans="1:25" x14ac:dyDescent="0.2">
      <c r="A1335" s="32">
        <v>22</v>
      </c>
      <c r="B1335" s="32" t="s">
        <v>1521</v>
      </c>
      <c r="C1335" s="32" t="s">
        <v>1202</v>
      </c>
      <c r="D1335" s="33">
        <v>241293.46</v>
      </c>
      <c r="F1335" s="33">
        <v>206772.18158112635</v>
      </c>
      <c r="H1335" s="33">
        <v>12515.531919368208</v>
      </c>
      <c r="I1335" s="33">
        <v>22005.746499505447</v>
      </c>
      <c r="L1335" s="33">
        <v>1.8282319222200731</v>
      </c>
      <c r="N1335" s="33">
        <v>22003.918267583227</v>
      </c>
      <c r="O1335" s="33">
        <v>6865.7807888732586</v>
      </c>
      <c r="P1335" s="33">
        <v>15138.137478709968</v>
      </c>
      <c r="Q1335" s="33">
        <v>0</v>
      </c>
      <c r="T1335" s="33">
        <v>241293.46000000002</v>
      </c>
      <c r="U1335" s="32">
        <v>548</v>
      </c>
      <c r="W1335" s="32">
        <v>241293.46000000002</v>
      </c>
      <c r="X1335" s="32">
        <v>0</v>
      </c>
      <c r="Y1335" s="32" t="s">
        <v>2273</v>
      </c>
    </row>
    <row r="1336" spans="1:25" x14ac:dyDescent="0.2">
      <c r="A1336" s="32">
        <v>23</v>
      </c>
      <c r="B1336" s="32" t="s">
        <v>1522</v>
      </c>
      <c r="C1336" s="32" t="s">
        <v>1202</v>
      </c>
      <c r="D1336" s="33">
        <v>21445.7</v>
      </c>
      <c r="F1336" s="33">
        <v>18377.514975061327</v>
      </c>
      <c r="H1336" s="33">
        <v>1112.3564761481507</v>
      </c>
      <c r="I1336" s="33">
        <v>1955.8285487905223</v>
      </c>
      <c r="L1336" s="33">
        <v>0.16248974727435639</v>
      </c>
      <c r="N1336" s="33">
        <v>1955.666059043248</v>
      </c>
      <c r="O1336" s="33">
        <v>610.21743011161277</v>
      </c>
      <c r="P1336" s="33">
        <v>1345.4486289316351</v>
      </c>
      <c r="Q1336" s="33">
        <v>0</v>
      </c>
      <c r="T1336" s="33">
        <v>21445.7</v>
      </c>
      <c r="U1336" s="32">
        <v>549</v>
      </c>
      <c r="W1336" s="32">
        <v>21445.7</v>
      </c>
      <c r="X1336" s="32">
        <v>0</v>
      </c>
      <c r="Y1336" s="32" t="s">
        <v>2273</v>
      </c>
    </row>
    <row r="1337" spans="1:25" x14ac:dyDescent="0.2">
      <c r="A1337" s="32">
        <v>24</v>
      </c>
      <c r="B1337" s="32" t="s">
        <v>1523</v>
      </c>
      <c r="C1337" s="32" t="s">
        <v>1202</v>
      </c>
      <c r="D1337" s="33">
        <v>0</v>
      </c>
      <c r="F1337" s="33">
        <v>0</v>
      </c>
      <c r="H1337" s="33">
        <v>0</v>
      </c>
      <c r="I1337" s="33">
        <v>0</v>
      </c>
      <c r="L1337" s="33">
        <v>0</v>
      </c>
      <c r="N1337" s="33">
        <v>0</v>
      </c>
      <c r="O1337" s="33">
        <v>0</v>
      </c>
      <c r="P1337" s="33">
        <v>0</v>
      </c>
      <c r="Q1337" s="33">
        <v>0</v>
      </c>
      <c r="T1337" s="33">
        <v>0</v>
      </c>
      <c r="U1337" s="32">
        <v>550</v>
      </c>
      <c r="W1337" s="32">
        <v>0</v>
      </c>
      <c r="X1337" s="32">
        <v>0</v>
      </c>
      <c r="Y1337" s="32" t="s">
        <v>2273</v>
      </c>
    </row>
    <row r="1338" spans="1:25" x14ac:dyDescent="0.2">
      <c r="A1338" s="32">
        <v>25</v>
      </c>
      <c r="B1338" s="32" t="s">
        <v>1524</v>
      </c>
      <c r="C1338" s="32" t="s">
        <v>1202</v>
      </c>
      <c r="D1338" s="33">
        <v>41772.720000000001</v>
      </c>
      <c r="F1338" s="33">
        <v>35796.396823094787</v>
      </c>
      <c r="H1338" s="33">
        <v>2166.6886890296601</v>
      </c>
      <c r="I1338" s="33">
        <v>3809.6344878755567</v>
      </c>
      <c r="L1338" s="33">
        <v>0.31650348161927344</v>
      </c>
      <c r="N1338" s="33">
        <v>3809.3179843939374</v>
      </c>
      <c r="O1338" s="33">
        <v>1188.6038621808552</v>
      </c>
      <c r="P1338" s="33">
        <v>2620.7141222130822</v>
      </c>
      <c r="Q1338" s="33">
        <v>0</v>
      </c>
      <c r="T1338" s="33">
        <v>41772.720000000001</v>
      </c>
      <c r="U1338" s="32">
        <v>551</v>
      </c>
      <c r="W1338" s="32">
        <v>41772.720000000001</v>
      </c>
      <c r="X1338" s="32">
        <v>0</v>
      </c>
      <c r="Y1338" s="32" t="s">
        <v>2273</v>
      </c>
    </row>
    <row r="1339" spans="1:25" x14ac:dyDescent="0.2">
      <c r="A1339" s="32">
        <v>26</v>
      </c>
      <c r="B1339" s="32" t="s">
        <v>1525</v>
      </c>
      <c r="C1339" s="32" t="s">
        <v>1202</v>
      </c>
      <c r="D1339" s="33">
        <v>130669.44</v>
      </c>
      <c r="F1339" s="33">
        <v>111974.87563394422</v>
      </c>
      <c r="H1339" s="33">
        <v>6777.6289801056719</v>
      </c>
      <c r="I1339" s="33">
        <v>11916.935385950108</v>
      </c>
      <c r="L1339" s="33">
        <v>0.99005601505577689</v>
      </c>
      <c r="N1339" s="33">
        <v>11915.945329935052</v>
      </c>
      <c r="O1339" s="33">
        <v>3718.0772775392538</v>
      </c>
      <c r="P1339" s="33">
        <v>8197.8680523957973</v>
      </c>
      <c r="Q1339" s="33">
        <v>0</v>
      </c>
      <c r="T1339" s="33">
        <v>130669.44</v>
      </c>
      <c r="U1339" s="32">
        <v>552</v>
      </c>
      <c r="W1339" s="32">
        <v>130669.44</v>
      </c>
      <c r="X1339" s="32">
        <v>0</v>
      </c>
      <c r="Y1339" s="32" t="s">
        <v>2273</v>
      </c>
    </row>
    <row r="1340" spans="1:25" x14ac:dyDescent="0.2">
      <c r="A1340" s="32">
        <v>27</v>
      </c>
      <c r="B1340" s="32" t="s">
        <v>1526</v>
      </c>
      <c r="C1340" s="32" t="s">
        <v>1202</v>
      </c>
      <c r="D1340" s="33">
        <v>637280.62</v>
      </c>
      <c r="F1340" s="33">
        <v>546106.40535708168</v>
      </c>
      <c r="H1340" s="33">
        <v>33054.795356677969</v>
      </c>
      <c r="I1340" s="33">
        <v>58119.419286240329</v>
      </c>
      <c r="L1340" s="33">
        <v>4.828546836272313</v>
      </c>
      <c r="N1340" s="33">
        <v>58114.590739404055</v>
      </c>
      <c r="O1340" s="33">
        <v>18133.226809865624</v>
      </c>
      <c r="P1340" s="33">
        <v>39981.363929538435</v>
      </c>
      <c r="Q1340" s="33">
        <v>0</v>
      </c>
      <c r="T1340" s="33">
        <v>637280.62</v>
      </c>
      <c r="U1340" s="32">
        <v>553</v>
      </c>
      <c r="W1340" s="32">
        <v>637280.62</v>
      </c>
      <c r="X1340" s="32">
        <v>0</v>
      </c>
      <c r="Y1340" s="32" t="s">
        <v>2273</v>
      </c>
    </row>
    <row r="1341" spans="1:25" x14ac:dyDescent="0.2">
      <c r="A1341" s="32">
        <v>28</v>
      </c>
      <c r="B1341" s="32" t="s">
        <v>1527</v>
      </c>
      <c r="C1341" s="32" t="s">
        <v>1202</v>
      </c>
      <c r="D1341" s="33">
        <v>87476.37</v>
      </c>
      <c r="F1341" s="33">
        <v>74961.334889465274</v>
      </c>
      <c r="H1341" s="33">
        <v>4537.2688548022124</v>
      </c>
      <c r="I1341" s="33">
        <v>7977.7662557325129</v>
      </c>
      <c r="L1341" s="33">
        <v>0.66279082770802955</v>
      </c>
      <c r="N1341" s="33">
        <v>7977.1034649048052</v>
      </c>
      <c r="O1341" s="33">
        <v>2489.0586782848113</v>
      </c>
      <c r="P1341" s="33">
        <v>5488.0447866199938</v>
      </c>
      <c r="Q1341" s="33">
        <v>0</v>
      </c>
      <c r="T1341" s="33">
        <v>87476.37</v>
      </c>
      <c r="U1341" s="32">
        <v>554</v>
      </c>
      <c r="W1341" s="32">
        <v>87476.37</v>
      </c>
      <c r="X1341" s="32">
        <v>0</v>
      </c>
      <c r="Y1341" s="32" t="s">
        <v>2273</v>
      </c>
    </row>
    <row r="1342" spans="1:25" x14ac:dyDescent="0.2">
      <c r="A1342" s="32">
        <v>29</v>
      </c>
      <c r="B1342" s="32" t="s">
        <v>1528</v>
      </c>
      <c r="C1342" s="32" t="s">
        <v>1202</v>
      </c>
      <c r="D1342" s="33">
        <v>0</v>
      </c>
      <c r="F1342" s="33">
        <v>0</v>
      </c>
      <c r="H1342" s="33">
        <v>0</v>
      </c>
      <c r="I1342" s="33">
        <v>0</v>
      </c>
      <c r="L1342" s="33">
        <v>0</v>
      </c>
      <c r="N1342" s="33">
        <v>0</v>
      </c>
      <c r="O1342" s="33">
        <v>0</v>
      </c>
      <c r="P1342" s="33">
        <v>0</v>
      </c>
      <c r="Q1342" s="33">
        <v>0</v>
      </c>
      <c r="T1342" s="33">
        <v>0</v>
      </c>
      <c r="U1342" s="32">
        <v>555</v>
      </c>
      <c r="W1342" s="32">
        <v>0</v>
      </c>
      <c r="X1342" s="32">
        <v>0</v>
      </c>
      <c r="Y1342" s="32" t="s">
        <v>2273</v>
      </c>
    </row>
    <row r="1343" spans="1:25" x14ac:dyDescent="0.2">
      <c r="A1343" s="32">
        <v>30</v>
      </c>
      <c r="B1343" s="32" t="s">
        <v>1529</v>
      </c>
      <c r="C1343" s="32" t="s">
        <v>1202</v>
      </c>
      <c r="D1343" s="33">
        <v>1721352.77</v>
      </c>
      <c r="F1343" s="33">
        <v>1475082.9447412905</v>
      </c>
      <c r="H1343" s="33">
        <v>89284.001055925342</v>
      </c>
      <c r="I1343" s="33">
        <v>156985.82420278405</v>
      </c>
      <c r="L1343" s="33">
        <v>13.042343060255124</v>
      </c>
      <c r="N1343" s="33">
        <v>156972.78185972379</v>
      </c>
      <c r="O1343" s="33">
        <v>48979.490696265733</v>
      </c>
      <c r="P1343" s="33">
        <v>107993.29116345805</v>
      </c>
      <c r="Q1343" s="33">
        <v>0</v>
      </c>
      <c r="T1343" s="33">
        <v>1721352.77</v>
      </c>
      <c r="U1343" s="32">
        <v>556</v>
      </c>
      <c r="W1343" s="32">
        <v>1721352.77</v>
      </c>
      <c r="X1343" s="32">
        <v>0</v>
      </c>
      <c r="Y1343" s="32" t="s">
        <v>2273</v>
      </c>
    </row>
    <row r="1344" spans="1:25" x14ac:dyDescent="0.2">
      <c r="A1344" s="32">
        <v>31</v>
      </c>
      <c r="B1344" s="32" t="s">
        <v>1530</v>
      </c>
      <c r="C1344" s="32" t="s">
        <v>1202</v>
      </c>
      <c r="D1344" s="33">
        <v>5.000000000000001E-2</v>
      </c>
      <c r="F1344" s="33">
        <v>4.2846619543920994E-2</v>
      </c>
      <c r="H1344" s="33">
        <v>2.593425432949614E-3</v>
      </c>
      <c r="I1344" s="33">
        <v>4.5599550231293978E-3</v>
      </c>
      <c r="L1344" s="33">
        <v>3.7883992426070585E-7</v>
      </c>
      <c r="N1344" s="33">
        <v>4.5595761832051369E-3</v>
      </c>
      <c r="O1344" s="33">
        <v>1.4227034559646289E-3</v>
      </c>
      <c r="P1344" s="33">
        <v>3.136872727240508E-3</v>
      </c>
      <c r="Q1344" s="33">
        <v>0</v>
      </c>
      <c r="T1344" s="33">
        <v>0.05</v>
      </c>
      <c r="U1344" s="32">
        <v>557</v>
      </c>
      <c r="W1344" s="32">
        <v>0.05</v>
      </c>
      <c r="X1344" s="32">
        <v>0</v>
      </c>
      <c r="Y1344" s="32" t="s">
        <v>2273</v>
      </c>
    </row>
    <row r="1345" spans="1:25" x14ac:dyDescent="0.2">
      <c r="F1345" s="33"/>
    </row>
    <row r="1346" spans="1:25" x14ac:dyDescent="0.2">
      <c r="A1346" s="32">
        <v>32</v>
      </c>
      <c r="B1346" s="32" t="s">
        <v>1531</v>
      </c>
      <c r="D1346" s="33">
        <v>26721588.359999996</v>
      </c>
      <c r="F1346" s="33">
        <v>22898594.601403747</v>
      </c>
      <c r="H1346" s="33">
        <v>1386008.9372326876</v>
      </c>
      <c r="I1346" s="33">
        <v>2436984.8213635613</v>
      </c>
      <c r="J1346" s="33">
        <v>0</v>
      </c>
      <c r="K1346" s="33">
        <v>0</v>
      </c>
      <c r="L1346" s="33">
        <v>202.46409020856325</v>
      </c>
      <c r="N1346" s="33">
        <v>2436782.3572733523</v>
      </c>
      <c r="O1346" s="33">
        <v>760337.92217272415</v>
      </c>
      <c r="P1346" s="33">
        <v>1676444.4351006281</v>
      </c>
      <c r="Q1346" s="33">
        <v>0</v>
      </c>
    </row>
    <row r="1347" spans="1:25" x14ac:dyDescent="0.2">
      <c r="F1347" s="33"/>
    </row>
    <row r="1348" spans="1:25" x14ac:dyDescent="0.2">
      <c r="A1348" s="32">
        <v>33</v>
      </c>
      <c r="B1348" s="32" t="s">
        <v>1532</v>
      </c>
      <c r="D1348" s="33">
        <v>48069292.07</v>
      </c>
      <c r="F1348" s="33">
        <v>41419155.273129068</v>
      </c>
      <c r="H1348" s="33">
        <v>2365272.083441962</v>
      </c>
      <c r="I1348" s="33">
        <v>4284864.7134289648</v>
      </c>
      <c r="J1348" s="33">
        <v>0</v>
      </c>
      <c r="K1348" s="33">
        <v>0</v>
      </c>
      <c r="L1348" s="33">
        <v>304.27380287940531</v>
      </c>
      <c r="N1348" s="33">
        <v>4284560.4396260846</v>
      </c>
      <c r="O1348" s="33">
        <v>1363538.7239835919</v>
      </c>
      <c r="P1348" s="33">
        <v>2921021.7156424923</v>
      </c>
      <c r="Q1348" s="33">
        <v>0</v>
      </c>
    </row>
    <row r="1349" spans="1:25" x14ac:dyDescent="0.2">
      <c r="F1349" s="33"/>
    </row>
    <row r="1350" spans="1:25" x14ac:dyDescent="0.2">
      <c r="F1350" s="33"/>
    </row>
    <row r="1351" spans="1:25" x14ac:dyDescent="0.2">
      <c r="F1351" s="33"/>
    </row>
    <row r="1352" spans="1:25" x14ac:dyDescent="0.2">
      <c r="F1352" s="33"/>
    </row>
    <row r="1353" spans="1:25" x14ac:dyDescent="0.2">
      <c r="B1353" s="32" t="s">
        <v>1533</v>
      </c>
      <c r="F1353" s="33"/>
    </row>
    <row r="1354" spans="1:25" x14ac:dyDescent="0.2">
      <c r="A1354" s="32">
        <v>1</v>
      </c>
      <c r="B1354" s="32" t="s">
        <v>1534</v>
      </c>
      <c r="C1354" s="32" t="s">
        <v>1204</v>
      </c>
      <c r="D1354" s="33">
        <v>1303427.78</v>
      </c>
      <c r="F1354" s="33">
        <v>1045952.3157575636</v>
      </c>
      <c r="H1354" s="33">
        <v>149723.44455785491</v>
      </c>
      <c r="I1354" s="33">
        <v>107752.01968458154</v>
      </c>
      <c r="L1354" s="33">
        <v>9.248069049548258</v>
      </c>
      <c r="N1354" s="33">
        <v>107742.77161553199</v>
      </c>
      <c r="O1354" s="33">
        <v>33618.478422894397</v>
      </c>
      <c r="P1354" s="33">
        <v>74124.293192637604</v>
      </c>
      <c r="Q1354" s="33">
        <v>0</v>
      </c>
      <c r="T1354" s="33">
        <v>1303427.78</v>
      </c>
      <c r="U1354" s="32">
        <v>560</v>
      </c>
      <c r="W1354" s="32">
        <v>1303427.78</v>
      </c>
      <c r="X1354" s="32">
        <v>0</v>
      </c>
      <c r="Y1354" s="32" t="s">
        <v>2273</v>
      </c>
    </row>
    <row r="1355" spans="1:25" x14ac:dyDescent="0.2">
      <c r="A1355" s="32">
        <v>2</v>
      </c>
      <c r="B1355" s="32" t="s">
        <v>1535</v>
      </c>
      <c r="C1355" s="32" t="s">
        <v>1204</v>
      </c>
      <c r="D1355" s="33">
        <v>2653386.96</v>
      </c>
      <c r="F1355" s="33">
        <v>2129244.3493976486</v>
      </c>
      <c r="H1355" s="33">
        <v>304791.90446293476</v>
      </c>
      <c r="I1355" s="33">
        <v>219350.70613941646</v>
      </c>
      <c r="L1355" s="33">
        <v>18.82628726944192</v>
      </c>
      <c r="N1355" s="33">
        <v>219331.87985214702</v>
      </c>
      <c r="O1355" s="33">
        <v>68437.111461863547</v>
      </c>
      <c r="P1355" s="33">
        <v>150894.76839028348</v>
      </c>
      <c r="Q1355" s="33">
        <v>0</v>
      </c>
      <c r="T1355" s="33">
        <v>2653386.96</v>
      </c>
      <c r="U1355" s="32">
        <v>561</v>
      </c>
      <c r="W1355" s="32">
        <v>2653386.96</v>
      </c>
      <c r="X1355" s="32">
        <v>0</v>
      </c>
      <c r="Y1355" s="32" t="s">
        <v>2273</v>
      </c>
    </row>
    <row r="1356" spans="1:25" x14ac:dyDescent="0.2">
      <c r="A1356" s="32">
        <v>3</v>
      </c>
      <c r="B1356" s="32" t="s">
        <v>1536</v>
      </c>
      <c r="C1356" s="32" t="s">
        <v>1204</v>
      </c>
      <c r="D1356" s="33">
        <v>334609.98</v>
      </c>
      <c r="F1356" s="33">
        <v>268512.06397994066</v>
      </c>
      <c r="H1356" s="33">
        <v>38436.313509471875</v>
      </c>
      <c r="I1356" s="33">
        <v>27661.602510587458</v>
      </c>
      <c r="L1356" s="33">
        <v>2.374121717513157</v>
      </c>
      <c r="N1356" s="33">
        <v>27659.228388869946</v>
      </c>
      <c r="O1356" s="33">
        <v>8630.3810347782564</v>
      </c>
      <c r="P1356" s="33">
        <v>19028.847354091689</v>
      </c>
      <c r="Q1356" s="33">
        <v>0</v>
      </c>
      <c r="T1356" s="33">
        <v>334609.98</v>
      </c>
      <c r="U1356" s="32">
        <v>562</v>
      </c>
      <c r="W1356" s="32">
        <v>334609.98</v>
      </c>
      <c r="X1356" s="32">
        <v>0</v>
      </c>
      <c r="Y1356" s="32" t="s">
        <v>2273</v>
      </c>
    </row>
    <row r="1357" spans="1:25" x14ac:dyDescent="0.2">
      <c r="A1357" s="32">
        <v>4</v>
      </c>
      <c r="B1357" s="32" t="s">
        <v>1537</v>
      </c>
      <c r="C1357" s="32" t="s">
        <v>1204</v>
      </c>
      <c r="D1357" s="33">
        <v>69427.8</v>
      </c>
      <c r="F1357" s="33">
        <v>55713.227308959897</v>
      </c>
      <c r="H1357" s="33">
        <v>7975.1018994499564</v>
      </c>
      <c r="I1357" s="33">
        <v>5739.4707915901499</v>
      </c>
      <c r="L1357" s="33">
        <v>0.49260350148301013</v>
      </c>
      <c r="N1357" s="33">
        <v>5738.9781880886667</v>
      </c>
      <c r="O1357" s="33">
        <v>1790.706805596109</v>
      </c>
      <c r="P1357" s="33">
        <v>3948.2713824925577</v>
      </c>
      <c r="Q1357" s="33">
        <v>0</v>
      </c>
      <c r="T1357" s="33">
        <v>69427.8</v>
      </c>
      <c r="U1357" s="32">
        <v>563</v>
      </c>
      <c r="W1357" s="32">
        <v>69427.8</v>
      </c>
      <c r="X1357" s="32">
        <v>0</v>
      </c>
      <c r="Y1357" s="32" t="s">
        <v>2273</v>
      </c>
    </row>
    <row r="1358" spans="1:25" x14ac:dyDescent="0.2">
      <c r="A1358" s="32">
        <v>5</v>
      </c>
      <c r="B1358" s="32" t="s">
        <v>1538</v>
      </c>
      <c r="C1358" s="32" t="s">
        <v>1204</v>
      </c>
      <c r="D1358" s="33">
        <v>0</v>
      </c>
      <c r="F1358" s="33">
        <v>0</v>
      </c>
      <c r="H1358" s="33">
        <v>0</v>
      </c>
      <c r="I1358" s="33">
        <v>0</v>
      </c>
      <c r="L1358" s="33">
        <v>0</v>
      </c>
      <c r="N1358" s="33">
        <v>0</v>
      </c>
      <c r="O1358" s="33">
        <v>0</v>
      </c>
      <c r="P1358" s="33">
        <v>0</v>
      </c>
      <c r="Q1358" s="33">
        <v>0</v>
      </c>
      <c r="T1358" s="33">
        <v>0</v>
      </c>
      <c r="U1358" s="32">
        <v>565</v>
      </c>
      <c r="W1358" s="32">
        <v>0</v>
      </c>
      <c r="X1358" s="32">
        <v>0</v>
      </c>
      <c r="Y1358" s="32" t="s">
        <v>2273</v>
      </c>
    </row>
    <row r="1359" spans="1:25" x14ac:dyDescent="0.2">
      <c r="A1359" s="32">
        <v>6</v>
      </c>
      <c r="B1359" s="32" t="s">
        <v>1539</v>
      </c>
      <c r="C1359" s="32" t="s">
        <v>1204</v>
      </c>
      <c r="D1359" s="33">
        <v>417945.23</v>
      </c>
      <c r="F1359" s="33">
        <v>335385.50266154949</v>
      </c>
      <c r="H1359" s="33">
        <v>48008.950271203299</v>
      </c>
      <c r="I1359" s="33">
        <v>34550.777067247218</v>
      </c>
      <c r="L1359" s="33">
        <v>2.9654012330236879</v>
      </c>
      <c r="N1359" s="33">
        <v>34547.811666014197</v>
      </c>
      <c r="O1359" s="33">
        <v>10779.793796252092</v>
      </c>
      <c r="P1359" s="33">
        <v>23768.017869762109</v>
      </c>
      <c r="Q1359" s="33">
        <v>0</v>
      </c>
      <c r="T1359" s="33">
        <v>417945.23</v>
      </c>
      <c r="U1359" s="32">
        <v>566</v>
      </c>
      <c r="W1359" s="32">
        <v>417945.23</v>
      </c>
      <c r="X1359" s="32">
        <v>0</v>
      </c>
      <c r="Y1359" s="32" t="s">
        <v>2273</v>
      </c>
    </row>
    <row r="1360" spans="1:25" x14ac:dyDescent="0.2">
      <c r="A1360" s="32">
        <v>7</v>
      </c>
      <c r="B1360" s="32" t="s">
        <v>1540</v>
      </c>
      <c r="C1360" s="32" t="s">
        <v>1204</v>
      </c>
      <c r="D1360" s="33">
        <v>0</v>
      </c>
      <c r="F1360" s="33">
        <v>0</v>
      </c>
      <c r="H1360" s="33">
        <v>0</v>
      </c>
      <c r="I1360" s="33">
        <v>0</v>
      </c>
      <c r="L1360" s="33">
        <v>0</v>
      </c>
      <c r="N1360" s="33">
        <v>0</v>
      </c>
      <c r="O1360" s="33">
        <v>0</v>
      </c>
      <c r="P1360" s="33">
        <v>0</v>
      </c>
      <c r="Q1360" s="33">
        <v>0</v>
      </c>
      <c r="T1360" s="33">
        <v>0</v>
      </c>
      <c r="U1360" s="32">
        <v>567</v>
      </c>
      <c r="W1360" s="32">
        <v>0</v>
      </c>
      <c r="X1360" s="32">
        <v>0</v>
      </c>
      <c r="Y1360" s="32" t="s">
        <v>2273</v>
      </c>
    </row>
    <row r="1361" spans="1:25" x14ac:dyDescent="0.2">
      <c r="A1361" s="32">
        <v>8</v>
      </c>
      <c r="B1361" s="32" t="s">
        <v>1541</v>
      </c>
      <c r="C1361" s="32" t="s">
        <v>1204</v>
      </c>
      <c r="D1361" s="33">
        <v>0</v>
      </c>
      <c r="F1361" s="33">
        <v>0</v>
      </c>
      <c r="H1361" s="33">
        <v>0</v>
      </c>
      <c r="I1361" s="33">
        <v>0</v>
      </c>
      <c r="L1361" s="33">
        <v>0</v>
      </c>
      <c r="N1361" s="33">
        <v>0</v>
      </c>
      <c r="O1361" s="33">
        <v>0</v>
      </c>
      <c r="P1361" s="33">
        <v>0</v>
      </c>
      <c r="Q1361" s="33">
        <v>0</v>
      </c>
      <c r="T1361" s="33">
        <v>0</v>
      </c>
      <c r="U1361" s="32">
        <v>569</v>
      </c>
      <c r="W1361" s="32">
        <v>0</v>
      </c>
      <c r="X1361" s="32">
        <v>0</v>
      </c>
      <c r="Y1361" s="32" t="s">
        <v>2273</v>
      </c>
    </row>
    <row r="1362" spans="1:25" x14ac:dyDescent="0.2">
      <c r="A1362" s="32">
        <v>9</v>
      </c>
      <c r="B1362" s="32" t="s">
        <v>1542</v>
      </c>
      <c r="C1362" s="32" t="s">
        <v>1204</v>
      </c>
      <c r="D1362" s="33">
        <v>696734.24</v>
      </c>
      <c r="F1362" s="33">
        <v>559103.31433597801</v>
      </c>
      <c r="H1362" s="33">
        <v>80033.164824981082</v>
      </c>
      <c r="I1362" s="33">
        <v>57597.760839040857</v>
      </c>
      <c r="L1362" s="33">
        <v>4.9434625067639173</v>
      </c>
      <c r="N1362" s="33">
        <v>57592.817376534091</v>
      </c>
      <c r="O1362" s="33">
        <v>17970.420282074796</v>
      </c>
      <c r="P1362" s="33">
        <v>39622.397094459295</v>
      </c>
      <c r="Q1362" s="33">
        <v>0</v>
      </c>
      <c r="T1362" s="33">
        <v>696734.24</v>
      </c>
      <c r="U1362" s="32">
        <v>570</v>
      </c>
      <c r="W1362" s="32">
        <v>696734.24</v>
      </c>
      <c r="X1362" s="32">
        <v>0</v>
      </c>
      <c r="Y1362" s="32" t="s">
        <v>2273</v>
      </c>
    </row>
    <row r="1363" spans="1:25" x14ac:dyDescent="0.2">
      <c r="A1363" s="32">
        <v>10</v>
      </c>
      <c r="B1363" s="32" t="s">
        <v>1543</v>
      </c>
      <c r="C1363" s="32" t="s">
        <v>1204</v>
      </c>
      <c r="D1363" s="33">
        <v>220634.58000000002</v>
      </c>
      <c r="F1363" s="33">
        <v>177051.04450604654</v>
      </c>
      <c r="H1363" s="33">
        <v>25344.073383318257</v>
      </c>
      <c r="I1363" s="33">
        <v>18239.462110635224</v>
      </c>
      <c r="L1363" s="33">
        <v>1.5654444855840646</v>
      </c>
      <c r="N1363" s="33">
        <v>18237.896666149642</v>
      </c>
      <c r="O1363" s="33">
        <v>5690.6864967036136</v>
      </c>
      <c r="P1363" s="33">
        <v>12547.210169446027</v>
      </c>
      <c r="Q1363" s="33">
        <v>0</v>
      </c>
      <c r="T1363" s="33">
        <v>220634.58000000002</v>
      </c>
      <c r="U1363" s="32">
        <v>571</v>
      </c>
      <c r="W1363" s="32">
        <v>220634.58000000002</v>
      </c>
      <c r="X1363" s="32">
        <v>0</v>
      </c>
      <c r="Y1363" s="32" t="s">
        <v>2273</v>
      </c>
    </row>
    <row r="1364" spans="1:25" x14ac:dyDescent="0.2">
      <c r="A1364" s="32">
        <v>11</v>
      </c>
      <c r="B1364" s="32" t="s">
        <v>1544</v>
      </c>
      <c r="C1364" s="32" t="s">
        <v>1204</v>
      </c>
      <c r="D1364" s="33">
        <v>0</v>
      </c>
      <c r="F1364" s="33">
        <v>0</v>
      </c>
      <c r="H1364" s="33">
        <v>0</v>
      </c>
      <c r="I1364" s="33">
        <v>0</v>
      </c>
      <c r="L1364" s="33">
        <v>0</v>
      </c>
      <c r="N1364" s="33">
        <v>0</v>
      </c>
      <c r="O1364" s="33">
        <v>0</v>
      </c>
      <c r="P1364" s="33">
        <v>0</v>
      </c>
      <c r="Q1364" s="33">
        <v>0</v>
      </c>
      <c r="T1364" s="33">
        <v>0</v>
      </c>
      <c r="U1364" s="32">
        <v>572</v>
      </c>
      <c r="W1364" s="32">
        <v>0</v>
      </c>
      <c r="X1364" s="32">
        <v>0</v>
      </c>
      <c r="Y1364" s="32" t="s">
        <v>2273</v>
      </c>
    </row>
    <row r="1365" spans="1:25" x14ac:dyDescent="0.2">
      <c r="A1365" s="32">
        <v>12</v>
      </c>
      <c r="B1365" s="32" t="s">
        <v>1545</v>
      </c>
      <c r="C1365" s="32" t="s">
        <v>1204</v>
      </c>
      <c r="D1365" s="33">
        <v>109870.64000000001</v>
      </c>
      <c r="F1365" s="33">
        <v>88167.102240037886</v>
      </c>
      <c r="H1365" s="33">
        <v>12620.730453187087</v>
      </c>
      <c r="I1365" s="33">
        <v>9082.8073067750447</v>
      </c>
      <c r="L1365" s="33">
        <v>0.77955317573334137</v>
      </c>
      <c r="N1365" s="33">
        <v>9082.0277535993118</v>
      </c>
      <c r="O1365" s="33">
        <v>2833.8230907964835</v>
      </c>
      <c r="P1365" s="33">
        <v>6248.2046628028274</v>
      </c>
      <c r="Q1365" s="33">
        <v>0</v>
      </c>
      <c r="T1365" s="33">
        <v>109870.64000000001</v>
      </c>
      <c r="U1365" s="32">
        <v>573</v>
      </c>
      <c r="W1365" s="32">
        <v>109870.64000000001</v>
      </c>
      <c r="X1365" s="32">
        <v>0</v>
      </c>
      <c r="Y1365" s="32" t="s">
        <v>2273</v>
      </c>
    </row>
    <row r="1366" spans="1:25" x14ac:dyDescent="0.2">
      <c r="F1366" s="33"/>
    </row>
    <row r="1367" spans="1:25" x14ac:dyDescent="0.2">
      <c r="A1367" s="32">
        <v>13</v>
      </c>
      <c r="B1367" s="32" t="s">
        <v>1546</v>
      </c>
      <c r="C1367" s="32" t="s">
        <v>1204</v>
      </c>
      <c r="D1367" s="33">
        <v>5806037.21</v>
      </c>
      <c r="F1367" s="33">
        <v>4659128.9201877248</v>
      </c>
      <c r="H1367" s="33">
        <v>666933.68336240132</v>
      </c>
      <c r="I1367" s="33">
        <v>479974.60644987394</v>
      </c>
      <c r="J1367" s="33">
        <v>0</v>
      </c>
      <c r="K1367" s="33">
        <v>0</v>
      </c>
      <c r="L1367" s="33">
        <v>41.194942939091355</v>
      </c>
      <c r="N1367" s="33">
        <v>479933.41150693496</v>
      </c>
      <c r="O1367" s="33">
        <v>149751.4013909593</v>
      </c>
      <c r="P1367" s="33">
        <v>330182.01011597551</v>
      </c>
      <c r="Q1367" s="33">
        <v>0</v>
      </c>
    </row>
    <row r="1368" spans="1:25" x14ac:dyDescent="0.2">
      <c r="F1368" s="33"/>
    </row>
    <row r="1369" spans="1:25" x14ac:dyDescent="0.2">
      <c r="B1369" s="32" t="s">
        <v>1547</v>
      </c>
      <c r="F1369" s="33"/>
    </row>
    <row r="1370" spans="1:25" x14ac:dyDescent="0.2">
      <c r="A1370" s="32">
        <v>1</v>
      </c>
      <c r="B1370" s="32" t="s">
        <v>1548</v>
      </c>
      <c r="C1370" s="32" t="s">
        <v>1860</v>
      </c>
      <c r="D1370" s="33">
        <v>1376759.4599999997</v>
      </c>
      <c r="F1370" s="33">
        <v>1295319.5735034929</v>
      </c>
      <c r="H1370" s="33">
        <v>77134.121028215493</v>
      </c>
      <c r="I1370" s="33">
        <v>4305.7654682915827</v>
      </c>
      <c r="L1370" s="33">
        <v>155.60055102611457</v>
      </c>
      <c r="N1370" s="33">
        <v>4150.1649172654679</v>
      </c>
      <c r="O1370" s="33">
        <v>3566.4076665128218</v>
      </c>
      <c r="P1370" s="33">
        <v>583.75725075264575</v>
      </c>
      <c r="Q1370" s="33">
        <v>0</v>
      </c>
      <c r="T1370" s="33">
        <v>1376759.46</v>
      </c>
      <c r="U1370" s="32">
        <v>580</v>
      </c>
      <c r="W1370" s="32">
        <v>1376759.46</v>
      </c>
      <c r="X1370" s="32">
        <v>0</v>
      </c>
      <c r="Y1370" s="32" t="s">
        <v>2273</v>
      </c>
    </row>
    <row r="1371" spans="1:25" x14ac:dyDescent="0.2">
      <c r="A1371" s="32">
        <v>2</v>
      </c>
      <c r="B1371" s="32" t="s">
        <v>1549</v>
      </c>
      <c r="C1371" s="32" t="s">
        <v>1860</v>
      </c>
      <c r="D1371" s="33">
        <v>762447.18</v>
      </c>
      <c r="F1371" s="33">
        <v>717345.90152483201</v>
      </c>
      <c r="H1371" s="33">
        <v>42716.752467233164</v>
      </c>
      <c r="I1371" s="33">
        <v>2384.5260079348186</v>
      </c>
      <c r="L1371" s="33">
        <v>86.171335504247892</v>
      </c>
      <c r="N1371" s="33">
        <v>2298.3546724305706</v>
      </c>
      <c r="O1371" s="33">
        <v>1975.0708435757408</v>
      </c>
      <c r="P1371" s="33">
        <v>323.28382885482961</v>
      </c>
      <c r="Q1371" s="33">
        <v>0</v>
      </c>
      <c r="T1371" s="33">
        <v>762447.17999999993</v>
      </c>
      <c r="U1371" s="32">
        <v>581</v>
      </c>
      <c r="W1371" s="32">
        <v>762447.17999999993</v>
      </c>
      <c r="X1371" s="32">
        <v>0</v>
      </c>
      <c r="Y1371" s="32" t="s">
        <v>2273</v>
      </c>
    </row>
    <row r="1372" spans="1:25" x14ac:dyDescent="0.2">
      <c r="A1372" s="32">
        <v>3</v>
      </c>
      <c r="B1372" s="32" t="s">
        <v>1550</v>
      </c>
      <c r="C1372" s="32" t="s">
        <v>1860</v>
      </c>
      <c r="D1372" s="33">
        <v>803768.94000000018</v>
      </c>
      <c r="F1372" s="33">
        <v>756223.34242479422</v>
      </c>
      <c r="H1372" s="33">
        <v>45031.839255842475</v>
      </c>
      <c r="I1372" s="33">
        <v>2513.7583193634482</v>
      </c>
      <c r="L1372" s="33">
        <v>90.841496714085423</v>
      </c>
      <c r="N1372" s="33">
        <v>2422.916822649363</v>
      </c>
      <c r="O1372" s="33">
        <v>2082.1122302082345</v>
      </c>
      <c r="P1372" s="33">
        <v>340.80459244112865</v>
      </c>
      <c r="Q1372" s="33">
        <v>0</v>
      </c>
      <c r="T1372" s="33">
        <v>803768.94000000006</v>
      </c>
      <c r="U1372" s="32">
        <v>582</v>
      </c>
      <c r="W1372" s="32">
        <v>803768.94000000006</v>
      </c>
      <c r="X1372" s="32">
        <v>0</v>
      </c>
      <c r="Y1372" s="32" t="s">
        <v>2273</v>
      </c>
    </row>
    <row r="1373" spans="1:25" x14ac:dyDescent="0.2">
      <c r="A1373" s="32">
        <v>4</v>
      </c>
      <c r="B1373" s="32" t="s">
        <v>1551</v>
      </c>
      <c r="C1373" s="32" t="s">
        <v>1860</v>
      </c>
      <c r="D1373" s="33">
        <v>1689769.8600000003</v>
      </c>
      <c r="F1373" s="33">
        <v>1589814.3706049111</v>
      </c>
      <c r="H1373" s="33">
        <v>94670.795209985896</v>
      </c>
      <c r="I1373" s="33">
        <v>5284.6941851032589</v>
      </c>
      <c r="L1373" s="33">
        <v>190.97680383712088</v>
      </c>
      <c r="N1373" s="33">
        <v>5093.7173812661376</v>
      </c>
      <c r="O1373" s="33">
        <v>4377.2411655310498</v>
      </c>
      <c r="P1373" s="33">
        <v>716.47621573508798</v>
      </c>
      <c r="Q1373" s="33">
        <v>0</v>
      </c>
      <c r="T1373" s="33">
        <v>1689769.86</v>
      </c>
      <c r="U1373" s="32">
        <v>583</v>
      </c>
      <c r="W1373" s="32">
        <v>1689769.86</v>
      </c>
      <c r="X1373" s="32">
        <v>0</v>
      </c>
      <c r="Y1373" s="32" t="s">
        <v>2273</v>
      </c>
    </row>
    <row r="1374" spans="1:25" x14ac:dyDescent="0.2">
      <c r="A1374" s="32">
        <v>5</v>
      </c>
      <c r="B1374" s="32" t="s">
        <v>1552</v>
      </c>
      <c r="C1374" s="32" t="s">
        <v>1860</v>
      </c>
      <c r="D1374" s="33">
        <v>101763.76000000001</v>
      </c>
      <c r="F1374" s="33">
        <v>95744.096213663797</v>
      </c>
      <c r="H1374" s="33">
        <v>5701.4013037007026</v>
      </c>
      <c r="I1374" s="33">
        <v>318.26248263550133</v>
      </c>
      <c r="L1374" s="33">
        <v>11.501280790537859</v>
      </c>
      <c r="N1374" s="33">
        <v>306.76120184496347</v>
      </c>
      <c r="O1374" s="33">
        <v>263.61253681683132</v>
      </c>
      <c r="P1374" s="33">
        <v>43.148665028132122</v>
      </c>
      <c r="Q1374" s="33">
        <v>0</v>
      </c>
      <c r="T1374" s="33">
        <v>101763.76</v>
      </c>
      <c r="U1374" s="32">
        <v>584</v>
      </c>
      <c r="W1374" s="32">
        <v>101763.76</v>
      </c>
      <c r="X1374" s="32">
        <v>0</v>
      </c>
      <c r="Y1374" s="32" t="s">
        <v>2273</v>
      </c>
    </row>
    <row r="1375" spans="1:25" x14ac:dyDescent="0.2">
      <c r="A1375" s="32">
        <v>6</v>
      </c>
      <c r="B1375" s="32" t="s">
        <v>1553</v>
      </c>
      <c r="C1375" s="32" t="s">
        <v>1860</v>
      </c>
      <c r="D1375" s="33">
        <v>2664.27</v>
      </c>
      <c r="F1375" s="33">
        <v>2506.6695965162653</v>
      </c>
      <c r="H1375" s="33">
        <v>149.26799531985327</v>
      </c>
      <c r="I1375" s="33">
        <v>8.3324081638815919</v>
      </c>
      <c r="L1375" s="33">
        <v>0.30111424117786434</v>
      </c>
      <c r="N1375" s="33">
        <v>8.0312939227037283</v>
      </c>
      <c r="O1375" s="33">
        <v>6.9016216918967936</v>
      </c>
      <c r="P1375" s="33">
        <v>1.1296722308069354</v>
      </c>
      <c r="Q1375" s="33">
        <v>0</v>
      </c>
      <c r="T1375" s="33">
        <v>2664.27</v>
      </c>
      <c r="U1375" s="32">
        <v>585</v>
      </c>
      <c r="W1375" s="32">
        <v>2664.27</v>
      </c>
      <c r="X1375" s="32">
        <v>0</v>
      </c>
      <c r="Y1375" s="32" t="s">
        <v>2273</v>
      </c>
    </row>
    <row r="1376" spans="1:25" x14ac:dyDescent="0.2">
      <c r="A1376" s="32">
        <v>7</v>
      </c>
      <c r="B1376" s="32" t="s">
        <v>1554</v>
      </c>
      <c r="C1376" s="32" t="s">
        <v>1860</v>
      </c>
      <c r="D1376" s="33">
        <v>4583824.42</v>
      </c>
      <c r="F1376" s="33">
        <v>4312676.0085812639</v>
      </c>
      <c r="H1376" s="33">
        <v>256812.66616055771</v>
      </c>
      <c r="I1376" s="33">
        <v>14335.745258178717</v>
      </c>
      <c r="L1376" s="33">
        <v>518.06116193961725</v>
      </c>
      <c r="N1376" s="33">
        <v>13817.6840962391</v>
      </c>
      <c r="O1376" s="33">
        <v>11874.105120321228</v>
      </c>
      <c r="P1376" s="33">
        <v>1943.578975917871</v>
      </c>
      <c r="Q1376" s="33">
        <v>0</v>
      </c>
      <c r="T1376" s="33">
        <v>4583824.42</v>
      </c>
      <c r="U1376" s="32">
        <v>586</v>
      </c>
      <c r="W1376" s="32">
        <v>4583824.42</v>
      </c>
      <c r="X1376" s="32">
        <v>0</v>
      </c>
      <c r="Y1376" s="32" t="s">
        <v>2273</v>
      </c>
    </row>
    <row r="1377" spans="1:25" x14ac:dyDescent="0.2">
      <c r="A1377" s="32">
        <v>8</v>
      </c>
      <c r="B1377" s="32" t="s">
        <v>1555</v>
      </c>
      <c r="C1377" s="32" t="s">
        <v>1860</v>
      </c>
      <c r="D1377" s="33">
        <v>1733.3200000000004</v>
      </c>
      <c r="F1377" s="33">
        <v>1630.7883754400168</v>
      </c>
      <c r="H1377" s="33">
        <v>97.110728885513893</v>
      </c>
      <c r="I1377" s="33">
        <v>5.4208956744696462</v>
      </c>
      <c r="L1377" s="33">
        <v>0.19589881525461603</v>
      </c>
      <c r="N1377" s="33">
        <v>5.2249968592150298</v>
      </c>
      <c r="O1377" s="33">
        <v>4.490055028581394</v>
      </c>
      <c r="P1377" s="33">
        <v>0.73494183063363594</v>
      </c>
      <c r="Q1377" s="33">
        <v>0</v>
      </c>
      <c r="T1377" s="33">
        <v>1733.3200000000002</v>
      </c>
      <c r="U1377" s="32">
        <v>587</v>
      </c>
      <c r="W1377" s="32">
        <v>1733.3200000000002</v>
      </c>
      <c r="X1377" s="32">
        <v>0</v>
      </c>
      <c r="Y1377" s="32" t="s">
        <v>2273</v>
      </c>
    </row>
    <row r="1378" spans="1:25" x14ac:dyDescent="0.2">
      <c r="A1378" s="32">
        <v>9</v>
      </c>
      <c r="B1378" s="32" t="s">
        <v>1556</v>
      </c>
      <c r="C1378" s="32" t="s">
        <v>1860</v>
      </c>
      <c r="D1378" s="33">
        <v>2781961.52</v>
      </c>
      <c r="F1378" s="33">
        <v>2617399.2729198528</v>
      </c>
      <c r="H1378" s="33">
        <v>155861.7629397065</v>
      </c>
      <c r="I1378" s="33">
        <v>8700.484140440889</v>
      </c>
      <c r="L1378" s="33">
        <v>314.41566811202244</v>
      </c>
      <c r="N1378" s="33">
        <v>8386.0684723288668</v>
      </c>
      <c r="O1378" s="33">
        <v>7206.49407622132</v>
      </c>
      <c r="P1378" s="33">
        <v>1179.5743961075464</v>
      </c>
      <c r="Q1378" s="33">
        <v>0</v>
      </c>
      <c r="T1378" s="33">
        <v>2781961.52</v>
      </c>
      <c r="U1378" s="32">
        <v>588</v>
      </c>
      <c r="W1378" s="32">
        <v>2781961.52</v>
      </c>
      <c r="X1378" s="32">
        <v>0</v>
      </c>
      <c r="Y1378" s="32" t="s">
        <v>2273</v>
      </c>
    </row>
    <row r="1379" spans="1:25" x14ac:dyDescent="0.2">
      <c r="A1379" s="32">
        <v>10</v>
      </c>
      <c r="B1379" s="32" t="s">
        <v>1557</v>
      </c>
      <c r="C1379" s="32" t="s">
        <v>1860</v>
      </c>
      <c r="D1379" s="33">
        <v>0</v>
      </c>
      <c r="F1379" s="33">
        <v>0</v>
      </c>
      <c r="H1379" s="33">
        <v>0</v>
      </c>
      <c r="I1379" s="33">
        <v>0</v>
      </c>
      <c r="L1379" s="33">
        <v>0</v>
      </c>
      <c r="N1379" s="33">
        <v>0</v>
      </c>
      <c r="O1379" s="33">
        <v>0</v>
      </c>
      <c r="P1379" s="33">
        <v>0</v>
      </c>
      <c r="Q1379" s="33">
        <v>0</v>
      </c>
      <c r="T1379" s="33">
        <v>0</v>
      </c>
      <c r="U1379" s="32">
        <v>589</v>
      </c>
      <c r="W1379" s="32">
        <v>0</v>
      </c>
      <c r="X1379" s="32">
        <v>0</v>
      </c>
      <c r="Y1379" s="32" t="s">
        <v>2273</v>
      </c>
    </row>
    <row r="1380" spans="1:25" x14ac:dyDescent="0.2">
      <c r="A1380" s="32">
        <v>11</v>
      </c>
      <c r="B1380" s="32" t="s">
        <v>1558</v>
      </c>
      <c r="C1380" s="32" t="s">
        <v>1860</v>
      </c>
      <c r="D1380" s="33">
        <v>89122.07</v>
      </c>
      <c r="F1380" s="33">
        <v>83850.204088772676</v>
      </c>
      <c r="H1380" s="33">
        <v>4993.1398573176275</v>
      </c>
      <c r="I1380" s="33">
        <v>278.72605390971142</v>
      </c>
      <c r="L1380" s="33">
        <v>10.072524361363717</v>
      </c>
      <c r="N1380" s="33">
        <v>268.65352954834771</v>
      </c>
      <c r="O1380" s="33">
        <v>230.86504428558086</v>
      </c>
      <c r="P1380" s="33">
        <v>37.788485262766855</v>
      </c>
      <c r="Q1380" s="33">
        <v>0</v>
      </c>
      <c r="T1380" s="33">
        <v>89122.07</v>
      </c>
      <c r="U1380" s="32">
        <v>590</v>
      </c>
      <c r="W1380" s="32">
        <v>89122.07</v>
      </c>
      <c r="X1380" s="32">
        <v>0</v>
      </c>
      <c r="Y1380" s="32" t="s">
        <v>2273</v>
      </c>
    </row>
    <row r="1381" spans="1:25" x14ac:dyDescent="0.2">
      <c r="A1381" s="32">
        <v>12</v>
      </c>
      <c r="B1381" s="32" t="s">
        <v>1889</v>
      </c>
      <c r="C1381" s="32" t="s">
        <v>1860</v>
      </c>
      <c r="D1381" s="33">
        <v>0</v>
      </c>
      <c r="F1381" s="33">
        <v>0</v>
      </c>
      <c r="H1381" s="33">
        <v>0</v>
      </c>
      <c r="I1381" s="33">
        <v>0</v>
      </c>
      <c r="L1381" s="33">
        <v>0</v>
      </c>
      <c r="N1381" s="33">
        <v>0</v>
      </c>
      <c r="O1381" s="33">
        <v>0</v>
      </c>
      <c r="P1381" s="33">
        <v>0</v>
      </c>
      <c r="Q1381" s="33">
        <v>0</v>
      </c>
      <c r="T1381" s="33">
        <v>0</v>
      </c>
      <c r="U1381" s="32">
        <v>591</v>
      </c>
      <c r="W1381" s="32">
        <v>0</v>
      </c>
      <c r="X1381" s="32">
        <v>0</v>
      </c>
      <c r="Y1381" s="32" t="s">
        <v>2273</v>
      </c>
    </row>
    <row r="1382" spans="1:25" x14ac:dyDescent="0.2">
      <c r="A1382" s="32">
        <v>13</v>
      </c>
      <c r="B1382" s="32" t="s">
        <v>1559</v>
      </c>
      <c r="C1382" s="32" t="s">
        <v>1860</v>
      </c>
      <c r="D1382" s="33">
        <v>350790.98000000004</v>
      </c>
      <c r="F1382" s="33">
        <v>330040.53053862607</v>
      </c>
      <c r="H1382" s="33">
        <v>19653.36334563942</v>
      </c>
      <c r="I1382" s="33">
        <v>1097.0861157345255</v>
      </c>
      <c r="L1382" s="33">
        <v>39.64619192301808</v>
      </c>
      <c r="N1382" s="33">
        <v>1057.4399238115075</v>
      </c>
      <c r="O1382" s="33">
        <v>908.70168447257004</v>
      </c>
      <c r="P1382" s="33">
        <v>148.73823933893749</v>
      </c>
      <c r="Q1382" s="33">
        <v>0</v>
      </c>
      <c r="T1382" s="33">
        <v>350790.98</v>
      </c>
      <c r="U1382" s="32">
        <v>592</v>
      </c>
      <c r="W1382" s="32">
        <v>350790.98</v>
      </c>
      <c r="X1382" s="32">
        <v>0</v>
      </c>
      <c r="Y1382" s="32" t="s">
        <v>2273</v>
      </c>
    </row>
    <row r="1383" spans="1:25" x14ac:dyDescent="0.2">
      <c r="A1383" s="32">
        <v>14</v>
      </c>
      <c r="B1383" s="32" t="s">
        <v>1560</v>
      </c>
      <c r="C1383" s="32" t="s">
        <v>1860</v>
      </c>
      <c r="D1383" s="33">
        <v>6644011.8900000015</v>
      </c>
      <c r="F1383" s="33">
        <v>6250996.5594911817</v>
      </c>
      <c r="H1383" s="33">
        <v>372236.42337359558</v>
      </c>
      <c r="I1383" s="33">
        <v>20778.907135223675</v>
      </c>
      <c r="L1383" s="33">
        <v>750.90234797301264</v>
      </c>
      <c r="N1383" s="33">
        <v>20028.004787250662</v>
      </c>
      <c r="O1383" s="33">
        <v>17210.889504909119</v>
      </c>
      <c r="P1383" s="33">
        <v>2817.1152823415432</v>
      </c>
      <c r="Q1383" s="33">
        <v>0</v>
      </c>
      <c r="T1383" s="33">
        <v>6644011.8900000006</v>
      </c>
      <c r="U1383" s="32">
        <v>593</v>
      </c>
      <c r="W1383" s="32">
        <v>6644011.8900000006</v>
      </c>
      <c r="X1383" s="32">
        <v>0</v>
      </c>
      <c r="Y1383" s="32" t="s">
        <v>2273</v>
      </c>
    </row>
    <row r="1384" spans="1:25" x14ac:dyDescent="0.2">
      <c r="A1384" s="32">
        <v>15</v>
      </c>
      <c r="B1384" s="32" t="s">
        <v>1561</v>
      </c>
      <c r="C1384" s="32" t="s">
        <v>1860</v>
      </c>
      <c r="D1384" s="33">
        <v>178369.87</v>
      </c>
      <c r="F1384" s="33">
        <v>167818.70083120654</v>
      </c>
      <c r="H1384" s="33">
        <v>9993.323844941704</v>
      </c>
      <c r="I1384" s="33">
        <v>557.84532385174862</v>
      </c>
      <c r="L1384" s="33">
        <v>20.15925865398188</v>
      </c>
      <c r="N1384" s="33">
        <v>537.68606519776677</v>
      </c>
      <c r="O1384" s="33">
        <v>462.05578412578723</v>
      </c>
      <c r="P1384" s="33">
        <v>75.630281071979581</v>
      </c>
      <c r="Q1384" s="33">
        <v>0</v>
      </c>
      <c r="T1384" s="33">
        <v>178369.87</v>
      </c>
      <c r="U1384" s="32">
        <v>594</v>
      </c>
      <c r="W1384" s="32">
        <v>178369.87</v>
      </c>
      <c r="X1384" s="32">
        <v>0</v>
      </c>
      <c r="Y1384" s="32" t="s">
        <v>2273</v>
      </c>
    </row>
    <row r="1385" spans="1:25" x14ac:dyDescent="0.2">
      <c r="A1385" s="32">
        <v>16</v>
      </c>
      <c r="B1385" s="32" t="s">
        <v>1562</v>
      </c>
      <c r="C1385" s="32" t="s">
        <v>1860</v>
      </c>
      <c r="D1385" s="33">
        <v>72638.320000000007</v>
      </c>
      <c r="F1385" s="33">
        <v>68341.522550649664</v>
      </c>
      <c r="H1385" s="33">
        <v>4069.6237280012929</v>
      </c>
      <c r="I1385" s="33">
        <v>227.17372134905384</v>
      </c>
      <c r="L1385" s="33">
        <v>8.209540552284448</v>
      </c>
      <c r="N1385" s="33">
        <v>218.9641807967694</v>
      </c>
      <c r="O1385" s="33">
        <v>188.16494010552262</v>
      </c>
      <c r="P1385" s="33">
        <v>30.799240691246769</v>
      </c>
      <c r="Q1385" s="33">
        <v>0</v>
      </c>
      <c r="T1385" s="33">
        <v>72638.320000000007</v>
      </c>
      <c r="U1385" s="32">
        <v>595</v>
      </c>
      <c r="W1385" s="32">
        <v>72638.320000000007</v>
      </c>
      <c r="X1385" s="32">
        <v>0</v>
      </c>
      <c r="Y1385" s="32" t="s">
        <v>2273</v>
      </c>
    </row>
    <row r="1386" spans="1:25" x14ac:dyDescent="0.2">
      <c r="A1386" s="32">
        <v>17</v>
      </c>
      <c r="B1386" s="32" t="s">
        <v>1563</v>
      </c>
      <c r="C1386" s="32" t="s">
        <v>1860</v>
      </c>
      <c r="D1386" s="33">
        <v>0</v>
      </c>
      <c r="F1386" s="33">
        <v>0</v>
      </c>
      <c r="H1386" s="33">
        <v>0</v>
      </c>
      <c r="I1386" s="33">
        <v>0</v>
      </c>
      <c r="L1386" s="33">
        <v>0</v>
      </c>
      <c r="N1386" s="33">
        <v>0</v>
      </c>
      <c r="O1386" s="33">
        <v>0</v>
      </c>
      <c r="P1386" s="33">
        <v>0</v>
      </c>
      <c r="Q1386" s="33">
        <v>0</v>
      </c>
      <c r="T1386" s="33">
        <v>0</v>
      </c>
      <c r="U1386" s="32">
        <v>596</v>
      </c>
      <c r="W1386" s="32">
        <v>0</v>
      </c>
      <c r="X1386" s="32">
        <v>0</v>
      </c>
      <c r="Y1386" s="32" t="s">
        <v>2273</v>
      </c>
    </row>
    <row r="1387" spans="1:25" x14ac:dyDescent="0.2">
      <c r="A1387" s="32">
        <v>18</v>
      </c>
      <c r="B1387" s="32" t="s">
        <v>1564</v>
      </c>
      <c r="C1387" s="32" t="s">
        <v>1860</v>
      </c>
      <c r="D1387" s="33">
        <v>0</v>
      </c>
      <c r="F1387" s="33">
        <v>0</v>
      </c>
      <c r="H1387" s="33">
        <v>0</v>
      </c>
      <c r="I1387" s="33">
        <v>0</v>
      </c>
      <c r="L1387" s="33">
        <v>0</v>
      </c>
      <c r="N1387" s="33">
        <v>0</v>
      </c>
      <c r="O1387" s="33">
        <v>0</v>
      </c>
      <c r="P1387" s="33">
        <v>0</v>
      </c>
      <c r="Q1387" s="33">
        <v>0</v>
      </c>
      <c r="T1387" s="33">
        <v>0</v>
      </c>
      <c r="U1387" s="32">
        <v>597</v>
      </c>
      <c r="W1387" s="32">
        <v>0</v>
      </c>
      <c r="X1387" s="32">
        <v>0</v>
      </c>
      <c r="Y1387" s="32" t="s">
        <v>2273</v>
      </c>
    </row>
    <row r="1388" spans="1:25" x14ac:dyDescent="0.2">
      <c r="A1388" s="32">
        <v>19</v>
      </c>
      <c r="B1388" s="32" t="s">
        <v>1153</v>
      </c>
      <c r="C1388" s="32" t="s">
        <v>1860</v>
      </c>
      <c r="D1388" s="33">
        <v>70555.56</v>
      </c>
      <c r="F1388" s="33">
        <v>66381.964709725042</v>
      </c>
      <c r="H1388" s="33">
        <v>3952.9353255749702</v>
      </c>
      <c r="I1388" s="33">
        <v>220.65996469998822</v>
      </c>
      <c r="L1388" s="33">
        <v>7.974148232078309</v>
      </c>
      <c r="N1388" s="33">
        <v>212.68581646790992</v>
      </c>
      <c r="O1388" s="33">
        <v>182.76968302008646</v>
      </c>
      <c r="P1388" s="33">
        <v>29.916133447823444</v>
      </c>
      <c r="Q1388" s="33">
        <v>0</v>
      </c>
      <c r="T1388" s="33">
        <v>70555.56</v>
      </c>
      <c r="U1388" s="32">
        <v>598</v>
      </c>
      <c r="W1388" s="32">
        <v>70555.56</v>
      </c>
      <c r="X1388" s="32">
        <v>0</v>
      </c>
      <c r="Y1388" s="32" t="s">
        <v>2273</v>
      </c>
    </row>
    <row r="1389" spans="1:25" x14ac:dyDescent="0.2">
      <c r="F1389" s="33"/>
    </row>
    <row r="1390" spans="1:25" x14ac:dyDescent="0.2">
      <c r="A1390" s="32">
        <v>20</v>
      </c>
      <c r="B1390" s="32" t="s">
        <v>1154</v>
      </c>
      <c r="C1390" s="32" t="s">
        <v>1860</v>
      </c>
      <c r="D1390" s="33">
        <v>19510181.420000006</v>
      </c>
      <c r="F1390" s="33">
        <v>18356089.505954929</v>
      </c>
      <c r="H1390" s="33">
        <v>1093074.5265645182</v>
      </c>
      <c r="I1390" s="33">
        <v>61017.387480555277</v>
      </c>
      <c r="L1390" s="33">
        <v>2205.0293226759177</v>
      </c>
      <c r="N1390" s="33">
        <v>58812.358157879353</v>
      </c>
      <c r="O1390" s="33">
        <v>50539.881956826372</v>
      </c>
      <c r="P1390" s="33">
        <v>8272.4762010529794</v>
      </c>
      <c r="Q1390" s="33">
        <v>0</v>
      </c>
    </row>
    <row r="1391" spans="1:25" x14ac:dyDescent="0.2">
      <c r="F1391" s="33"/>
    </row>
    <row r="1392" spans="1:25" x14ac:dyDescent="0.2">
      <c r="A1392" s="32">
        <v>21</v>
      </c>
      <c r="B1392" s="32" t="s">
        <v>1155</v>
      </c>
      <c r="D1392" s="33">
        <v>73385510.699999988</v>
      </c>
      <c r="F1392" s="33">
        <v>64434373.699271724</v>
      </c>
      <c r="H1392" s="33">
        <v>4125280.2933688816</v>
      </c>
      <c r="I1392" s="33">
        <v>4825856.7073593931</v>
      </c>
      <c r="L1392" s="33">
        <v>2550.4980684944144</v>
      </c>
      <c r="N1392" s="33">
        <v>4823306.2092908984</v>
      </c>
      <c r="O1392" s="33">
        <v>1563830.0073313776</v>
      </c>
      <c r="P1392" s="33">
        <v>3259476.2019595206</v>
      </c>
      <c r="Q1392" s="33">
        <v>0</v>
      </c>
    </row>
    <row r="1393" spans="1:25" x14ac:dyDescent="0.2">
      <c r="F1393" s="33"/>
    </row>
    <row r="1394" spans="1:25" x14ac:dyDescent="0.2">
      <c r="F1394" s="33"/>
    </row>
    <row r="1395" spans="1:25" x14ac:dyDescent="0.2">
      <c r="F1395" s="33"/>
    </row>
    <row r="1396" spans="1:25" x14ac:dyDescent="0.2">
      <c r="F1396" s="33"/>
    </row>
    <row r="1397" spans="1:25" x14ac:dyDescent="0.2">
      <c r="B1397" s="32" t="s">
        <v>1156</v>
      </c>
      <c r="F1397" s="33"/>
    </row>
    <row r="1398" spans="1:25" x14ac:dyDescent="0.2">
      <c r="A1398" s="32">
        <v>1</v>
      </c>
      <c r="B1398" s="32" t="s">
        <v>1157</v>
      </c>
      <c r="C1398" s="32" t="s">
        <v>2480</v>
      </c>
      <c r="D1398" s="33">
        <v>2455747.42</v>
      </c>
      <c r="F1398" s="33">
        <v>2323402.4196050591</v>
      </c>
      <c r="H1398" s="33">
        <v>129289.29269695199</v>
      </c>
      <c r="I1398" s="33">
        <v>3055.7076979889034</v>
      </c>
      <c r="L1398" s="33">
        <v>22.999950414970236</v>
      </c>
      <c r="N1398" s="33">
        <v>3032.7077475739334</v>
      </c>
      <c r="O1398" s="33">
        <v>1623.1393578564714</v>
      </c>
      <c r="P1398" s="33">
        <v>1409.5683897174617</v>
      </c>
      <c r="Q1398" s="33">
        <v>0</v>
      </c>
      <c r="T1398" s="33">
        <v>2455747.42</v>
      </c>
      <c r="U1398" s="32">
        <v>901</v>
      </c>
      <c r="W1398" s="32">
        <v>2455747.42</v>
      </c>
      <c r="X1398" s="32">
        <v>0</v>
      </c>
      <c r="Y1398" s="32" t="s">
        <v>2273</v>
      </c>
    </row>
    <row r="1399" spans="1:25" x14ac:dyDescent="0.2">
      <c r="A1399" s="32">
        <v>2</v>
      </c>
      <c r="B1399" s="32" t="s">
        <v>1158</v>
      </c>
      <c r="C1399" s="32" t="s">
        <v>2480</v>
      </c>
      <c r="D1399" s="33">
        <v>285948.58000000007</v>
      </c>
      <c r="F1399" s="33">
        <v>270538.25537751394</v>
      </c>
      <c r="H1399" s="33">
        <v>15054.516337799021</v>
      </c>
      <c r="I1399" s="33">
        <v>355.80828468710996</v>
      </c>
      <c r="L1399" s="33">
        <v>2.6781268739889996</v>
      </c>
      <c r="N1399" s="33">
        <v>353.13015781312095</v>
      </c>
      <c r="O1399" s="33">
        <v>188.99923939293799</v>
      </c>
      <c r="P1399" s="33">
        <v>164.13091842018298</v>
      </c>
      <c r="Q1399" s="33">
        <v>0</v>
      </c>
      <c r="T1399" s="33">
        <v>285948.58</v>
      </c>
      <c r="U1399" s="32">
        <v>902</v>
      </c>
      <c r="W1399" s="32">
        <v>285948.58</v>
      </c>
      <c r="X1399" s="32">
        <v>0</v>
      </c>
      <c r="Y1399" s="32" t="s">
        <v>2273</v>
      </c>
    </row>
    <row r="1400" spans="1:25" x14ac:dyDescent="0.2">
      <c r="A1400" s="32">
        <v>3</v>
      </c>
      <c r="B1400" s="32" t="s">
        <v>1159</v>
      </c>
      <c r="C1400" s="32" t="s">
        <v>2480</v>
      </c>
      <c r="D1400" s="33">
        <v>8670689.8399999999</v>
      </c>
      <c r="F1400" s="33">
        <v>8203409.5159106404</v>
      </c>
      <c r="H1400" s="33">
        <v>456491.3099280576</v>
      </c>
      <c r="I1400" s="33">
        <v>10789.014161302539</v>
      </c>
      <c r="L1400" s="33">
        <v>81.207633472169633</v>
      </c>
      <c r="N1400" s="33">
        <v>10707.806527830369</v>
      </c>
      <c r="O1400" s="33">
        <v>5730.9387050359728</v>
      </c>
      <c r="P1400" s="33">
        <v>4976.8678227943965</v>
      </c>
      <c r="Q1400" s="33">
        <v>0</v>
      </c>
      <c r="T1400" s="33">
        <v>8670689.8399999999</v>
      </c>
      <c r="U1400" s="32">
        <v>903</v>
      </c>
      <c r="W1400" s="32">
        <v>8670689.8399999999</v>
      </c>
      <c r="X1400" s="32">
        <v>0</v>
      </c>
      <c r="Y1400" s="32" t="s">
        <v>2273</v>
      </c>
    </row>
    <row r="1401" spans="1:25" x14ac:dyDescent="0.2">
      <c r="A1401" s="32">
        <v>4</v>
      </c>
      <c r="B1401" s="32" t="s">
        <v>1160</v>
      </c>
      <c r="C1401" s="32" t="s">
        <v>2480</v>
      </c>
      <c r="D1401" s="33">
        <v>0</v>
      </c>
      <c r="F1401" s="33">
        <v>0</v>
      </c>
      <c r="H1401" s="33">
        <v>0</v>
      </c>
      <c r="I1401" s="33">
        <v>0</v>
      </c>
      <c r="L1401" s="33">
        <v>0</v>
      </c>
      <c r="N1401" s="33">
        <v>0</v>
      </c>
      <c r="O1401" s="33">
        <v>0</v>
      </c>
      <c r="P1401" s="33">
        <v>0</v>
      </c>
      <c r="Q1401" s="33">
        <v>0</v>
      </c>
      <c r="T1401" s="33">
        <v>0</v>
      </c>
      <c r="U1401" s="32">
        <v>904</v>
      </c>
      <c r="W1401" s="32">
        <v>0</v>
      </c>
      <c r="X1401" s="32">
        <v>0</v>
      </c>
      <c r="Y1401" s="32" t="s">
        <v>2273</v>
      </c>
    </row>
    <row r="1402" spans="1:25" x14ac:dyDescent="0.2">
      <c r="A1402" s="32">
        <v>5</v>
      </c>
      <c r="B1402" s="32" t="s">
        <v>1161</v>
      </c>
      <c r="C1402" s="32" t="s">
        <v>2480</v>
      </c>
      <c r="D1402" s="33">
        <v>450527.00000000006</v>
      </c>
      <c r="F1402" s="33">
        <v>426247.224520105</v>
      </c>
      <c r="H1402" s="33">
        <v>23719.180847548112</v>
      </c>
      <c r="I1402" s="33">
        <v>560.5946323469401</v>
      </c>
      <c r="L1402" s="33">
        <v>4.2195294907834198</v>
      </c>
      <c r="N1402" s="33">
        <v>556.37510285615667</v>
      </c>
      <c r="O1402" s="33">
        <v>297.77822406385854</v>
      </c>
      <c r="P1402" s="33">
        <v>258.59687879229813</v>
      </c>
      <c r="Q1402" s="33">
        <v>0</v>
      </c>
      <c r="T1402" s="33">
        <v>450527</v>
      </c>
      <c r="U1402" s="32">
        <v>905</v>
      </c>
      <c r="W1402" s="32">
        <v>450527</v>
      </c>
      <c r="X1402" s="32">
        <v>0</v>
      </c>
      <c r="Y1402" s="32" t="s">
        <v>2273</v>
      </c>
    </row>
    <row r="1403" spans="1:25" x14ac:dyDescent="0.2">
      <c r="F1403" s="33"/>
    </row>
    <row r="1404" spans="1:25" x14ac:dyDescent="0.2">
      <c r="A1404" s="32">
        <v>6</v>
      </c>
      <c r="B1404" s="32" t="s">
        <v>1162</v>
      </c>
      <c r="D1404" s="33">
        <v>11862912.840000004</v>
      </c>
      <c r="F1404" s="33">
        <v>11223597.41541332</v>
      </c>
      <c r="H1404" s="33">
        <v>624554.29981035669</v>
      </c>
      <c r="I1404" s="33">
        <v>14761.124776325494</v>
      </c>
      <c r="L1404" s="33">
        <v>111.10524025191229</v>
      </c>
      <c r="N1404" s="33">
        <v>14650.019536073582</v>
      </c>
      <c r="O1404" s="33">
        <v>7840.8555263492417</v>
      </c>
      <c r="P1404" s="33">
        <v>6809.1640097243398</v>
      </c>
      <c r="Q1404" s="33">
        <v>0</v>
      </c>
    </row>
    <row r="1405" spans="1:25" x14ac:dyDescent="0.2">
      <c r="F1405" s="33"/>
    </row>
    <row r="1406" spans="1:25" x14ac:dyDescent="0.2">
      <c r="B1406" s="32" t="s">
        <v>1163</v>
      </c>
      <c r="F1406" s="33"/>
    </row>
    <row r="1407" spans="1:25" x14ac:dyDescent="0.2">
      <c r="A1407" s="32">
        <v>7</v>
      </c>
      <c r="B1407" s="32" t="s">
        <v>1164</v>
      </c>
      <c r="C1407" s="32" t="s">
        <v>2481</v>
      </c>
      <c r="D1407" s="33">
        <v>180507.86999999997</v>
      </c>
      <c r="F1407" s="33">
        <v>180380.8167346133</v>
      </c>
      <c r="H1407" s="33">
        <v>127.03583874807386</v>
      </c>
      <c r="I1407" s="33">
        <v>1.7426638601882625E-2</v>
      </c>
      <c r="L1407" s="33">
        <v>1.7426638601882625E-2</v>
      </c>
      <c r="N1407" s="33">
        <v>0</v>
      </c>
      <c r="O1407" s="33">
        <v>0</v>
      </c>
      <c r="P1407" s="33">
        <v>0</v>
      </c>
      <c r="Q1407" s="33">
        <v>0</v>
      </c>
      <c r="T1407" s="33">
        <v>180507.87</v>
      </c>
      <c r="U1407" s="32">
        <v>907</v>
      </c>
      <c r="W1407" s="32">
        <v>180507.87</v>
      </c>
      <c r="X1407" s="32">
        <v>0</v>
      </c>
      <c r="Y1407" s="32" t="s">
        <v>2273</v>
      </c>
    </row>
    <row r="1408" spans="1:25" x14ac:dyDescent="0.2">
      <c r="A1408" s="32">
        <v>8</v>
      </c>
      <c r="B1408" s="32" t="s">
        <v>1165</v>
      </c>
      <c r="C1408" s="32" t="s">
        <v>2481</v>
      </c>
      <c r="D1408" s="33">
        <v>1276694.24</v>
      </c>
      <c r="F1408" s="33">
        <v>1275795.618947675</v>
      </c>
      <c r="H1408" s="33">
        <v>898.49779737157576</v>
      </c>
      <c r="I1408" s="33">
        <v>0.12325495351302523</v>
      </c>
      <c r="L1408" s="33">
        <v>0.12325495351302523</v>
      </c>
      <c r="N1408" s="33">
        <v>0</v>
      </c>
      <c r="O1408" s="33">
        <v>0</v>
      </c>
      <c r="P1408" s="33">
        <v>0</v>
      </c>
      <c r="Q1408" s="33">
        <v>0</v>
      </c>
      <c r="T1408" s="33">
        <v>1276694.2400000002</v>
      </c>
      <c r="U1408" s="32">
        <v>908</v>
      </c>
      <c r="W1408" s="32">
        <v>1276694.2400000002</v>
      </c>
      <c r="X1408" s="32">
        <v>0</v>
      </c>
      <c r="Y1408" s="32" t="s">
        <v>2273</v>
      </c>
    </row>
    <row r="1409" spans="1:25" x14ac:dyDescent="0.2">
      <c r="A1409" s="32">
        <v>9</v>
      </c>
      <c r="B1409" s="32" t="s">
        <v>1166</v>
      </c>
      <c r="C1409" s="32" t="s">
        <v>2481</v>
      </c>
      <c r="D1409" s="33">
        <v>0</v>
      </c>
      <c r="F1409" s="33">
        <v>0</v>
      </c>
      <c r="H1409" s="33">
        <v>0</v>
      </c>
      <c r="I1409" s="33">
        <v>0</v>
      </c>
      <c r="L1409" s="33">
        <v>0</v>
      </c>
      <c r="N1409" s="33">
        <v>0</v>
      </c>
      <c r="O1409" s="33">
        <v>0</v>
      </c>
      <c r="P1409" s="33">
        <v>0</v>
      </c>
      <c r="Q1409" s="33">
        <v>0</v>
      </c>
      <c r="T1409" s="33">
        <v>0</v>
      </c>
      <c r="U1409" s="32">
        <v>909</v>
      </c>
      <c r="W1409" s="32">
        <v>0</v>
      </c>
      <c r="X1409" s="32">
        <v>0</v>
      </c>
      <c r="Y1409" s="32" t="s">
        <v>2273</v>
      </c>
    </row>
    <row r="1410" spans="1:25" x14ac:dyDescent="0.2">
      <c r="A1410" s="32">
        <v>10</v>
      </c>
      <c r="B1410" s="32" t="s">
        <v>1167</v>
      </c>
      <c r="C1410" s="32" t="s">
        <v>2481</v>
      </c>
      <c r="D1410" s="33">
        <v>0</v>
      </c>
      <c r="F1410" s="33">
        <v>0</v>
      </c>
      <c r="H1410" s="33">
        <v>0</v>
      </c>
      <c r="I1410" s="33">
        <v>0</v>
      </c>
      <c r="L1410" s="33">
        <v>0</v>
      </c>
      <c r="N1410" s="33">
        <v>0</v>
      </c>
      <c r="O1410" s="33">
        <v>0</v>
      </c>
      <c r="P1410" s="33">
        <v>0</v>
      </c>
      <c r="Q1410" s="33">
        <v>0</v>
      </c>
      <c r="T1410" s="33">
        <v>0</v>
      </c>
      <c r="U1410" s="32">
        <v>910</v>
      </c>
      <c r="W1410" s="32">
        <v>0</v>
      </c>
      <c r="X1410" s="32">
        <v>0</v>
      </c>
      <c r="Y1410" s="32" t="s">
        <v>2273</v>
      </c>
    </row>
    <row r="1411" spans="1:25" x14ac:dyDescent="0.2">
      <c r="A1411" s="32">
        <v>11</v>
      </c>
      <c r="B1411" s="32" t="s">
        <v>1332</v>
      </c>
      <c r="C1411" s="32" t="s">
        <v>2481</v>
      </c>
      <c r="D1411" s="33">
        <v>0</v>
      </c>
      <c r="F1411" s="33">
        <v>0</v>
      </c>
      <c r="H1411" s="33">
        <v>0</v>
      </c>
      <c r="I1411" s="33">
        <v>0</v>
      </c>
      <c r="L1411" s="33">
        <v>0</v>
      </c>
      <c r="N1411" s="33">
        <v>0</v>
      </c>
      <c r="O1411" s="33">
        <v>0</v>
      </c>
      <c r="P1411" s="33">
        <v>0</v>
      </c>
      <c r="Q1411" s="33">
        <v>0</v>
      </c>
      <c r="T1411" s="33">
        <v>0</v>
      </c>
      <c r="U1411" s="32">
        <v>912</v>
      </c>
      <c r="W1411" s="32">
        <v>0</v>
      </c>
      <c r="X1411" s="32">
        <v>0</v>
      </c>
      <c r="Y1411" s="32" t="s">
        <v>2273</v>
      </c>
    </row>
    <row r="1412" spans="1:25" x14ac:dyDescent="0.2">
      <c r="A1412" s="32">
        <v>12</v>
      </c>
      <c r="B1412" s="32" t="s">
        <v>1333</v>
      </c>
      <c r="C1412" s="32" t="s">
        <v>2481</v>
      </c>
      <c r="D1412" s="33">
        <v>0</v>
      </c>
      <c r="F1412" s="33">
        <v>0</v>
      </c>
      <c r="H1412" s="33">
        <v>0</v>
      </c>
      <c r="I1412" s="33">
        <v>0</v>
      </c>
      <c r="L1412" s="33">
        <v>0</v>
      </c>
      <c r="N1412" s="33">
        <v>0</v>
      </c>
      <c r="O1412" s="33">
        <v>0</v>
      </c>
      <c r="P1412" s="33">
        <v>0</v>
      </c>
      <c r="Q1412" s="33">
        <v>0</v>
      </c>
      <c r="T1412" s="33">
        <v>0</v>
      </c>
      <c r="U1412" s="32">
        <v>913</v>
      </c>
      <c r="W1412" s="32">
        <v>0</v>
      </c>
      <c r="X1412" s="32">
        <v>0</v>
      </c>
      <c r="Y1412" s="32" t="s">
        <v>2273</v>
      </c>
    </row>
    <row r="1413" spans="1:25" x14ac:dyDescent="0.2">
      <c r="A1413" s="32">
        <v>13</v>
      </c>
      <c r="B1413" s="32" t="s">
        <v>1334</v>
      </c>
      <c r="C1413" s="32" t="s">
        <v>2481</v>
      </c>
      <c r="D1413" s="33">
        <v>0</v>
      </c>
      <c r="F1413" s="33">
        <v>0</v>
      </c>
      <c r="H1413" s="33">
        <v>0</v>
      </c>
      <c r="I1413" s="33">
        <v>0</v>
      </c>
      <c r="L1413" s="33">
        <v>0</v>
      </c>
      <c r="N1413" s="33">
        <v>0</v>
      </c>
      <c r="O1413" s="33">
        <v>0</v>
      </c>
      <c r="P1413" s="33">
        <v>0</v>
      </c>
      <c r="Q1413" s="33">
        <v>0</v>
      </c>
      <c r="T1413" s="33">
        <v>0</v>
      </c>
      <c r="U1413" s="32">
        <v>916</v>
      </c>
      <c r="W1413" s="32">
        <v>0</v>
      </c>
      <c r="X1413" s="32">
        <v>0</v>
      </c>
      <c r="Y1413" s="32" t="s">
        <v>2273</v>
      </c>
    </row>
    <row r="1414" spans="1:25" x14ac:dyDescent="0.2">
      <c r="F1414" s="33"/>
    </row>
    <row r="1415" spans="1:25" x14ac:dyDescent="0.2">
      <c r="A1415" s="32">
        <v>14</v>
      </c>
      <c r="B1415" s="32" t="s">
        <v>1737</v>
      </c>
      <c r="D1415" s="33">
        <v>1457202.11</v>
      </c>
      <c r="F1415" s="33">
        <v>1456176.4356822884</v>
      </c>
      <c r="H1415" s="33">
        <v>1025.5336361196496</v>
      </c>
      <c r="I1415" s="33">
        <v>0.14068159211490786</v>
      </c>
      <c r="L1415" s="33">
        <v>0.14068159211490786</v>
      </c>
      <c r="N1415" s="33">
        <v>0</v>
      </c>
      <c r="O1415" s="33">
        <v>0</v>
      </c>
      <c r="P1415" s="33">
        <v>0</v>
      </c>
      <c r="Q1415" s="33">
        <v>0</v>
      </c>
    </row>
    <row r="1416" spans="1:25" x14ac:dyDescent="0.2">
      <c r="F1416" s="33"/>
    </row>
    <row r="1417" spans="1:25" x14ac:dyDescent="0.2">
      <c r="A1417" s="32">
        <v>15</v>
      </c>
      <c r="B1417" s="32" t="s">
        <v>1738</v>
      </c>
      <c r="D1417" s="33">
        <v>86705625.650000006</v>
      </c>
      <c r="F1417" s="33">
        <v>77114147.550367326</v>
      </c>
      <c r="H1417" s="33">
        <v>4750860.1268153582</v>
      </c>
      <c r="I1417" s="33">
        <v>4840617.9728173101</v>
      </c>
      <c r="L1417" s="33">
        <v>2661.7439903384416</v>
      </c>
      <c r="N1417" s="33">
        <v>4837956.2288269717</v>
      </c>
      <c r="O1417" s="33">
        <v>1571670.8628577269</v>
      </c>
      <c r="P1417" s="33">
        <v>3266285.3659692449</v>
      </c>
    </row>
    <row r="1418" spans="1:25" x14ac:dyDescent="0.2">
      <c r="F1418" s="33"/>
    </row>
    <row r="1419" spans="1:25" x14ac:dyDescent="0.2">
      <c r="B1419" s="32" t="s">
        <v>1739</v>
      </c>
      <c r="F1419" s="33"/>
    </row>
    <row r="1420" spans="1:25" x14ac:dyDescent="0.2">
      <c r="A1420" s="32">
        <v>16</v>
      </c>
      <c r="B1420" s="32" t="s">
        <v>1740</v>
      </c>
      <c r="C1420" s="32" t="s">
        <v>1848</v>
      </c>
      <c r="D1420" s="33">
        <v>21837389.060000002</v>
      </c>
      <c r="F1420" s="33">
        <v>19421711.445635792</v>
      </c>
      <c r="H1420" s="33">
        <v>1196535.7516442523</v>
      </c>
      <c r="I1420" s="33">
        <v>1219141.8627199552</v>
      </c>
      <c r="L1420" s="33">
        <v>670.37794444583915</v>
      </c>
      <c r="N1420" s="33">
        <v>1218471.4847755092</v>
      </c>
      <c r="O1420" s="33">
        <v>395835.7701613573</v>
      </c>
      <c r="P1420" s="33">
        <v>822635.71461415198</v>
      </c>
      <c r="Q1420" s="33">
        <v>0</v>
      </c>
      <c r="T1420" s="33">
        <v>21837389.060000002</v>
      </c>
      <c r="U1420" s="32">
        <v>920</v>
      </c>
      <c r="W1420" s="32">
        <v>21837389.060000002</v>
      </c>
      <c r="X1420" s="32">
        <v>0</v>
      </c>
      <c r="Y1420" s="32" t="s">
        <v>2273</v>
      </c>
    </row>
    <row r="1421" spans="1:25" x14ac:dyDescent="0.2">
      <c r="A1421" s="32">
        <v>17</v>
      </c>
      <c r="B1421" s="32" t="s">
        <v>1741</v>
      </c>
      <c r="C1421" s="32" t="s">
        <v>1848</v>
      </c>
      <c r="D1421" s="33">
        <v>38924.779999999992</v>
      </c>
      <c r="F1421" s="33">
        <v>34618.875139684627</v>
      </c>
      <c r="H1421" s="33">
        <v>2132.8049231031632</v>
      </c>
      <c r="I1421" s="33">
        <v>2173.0999372122033</v>
      </c>
      <c r="L1421" s="33">
        <v>1.1949374502927188</v>
      </c>
      <c r="N1421" s="33">
        <v>2171.9049997619104</v>
      </c>
      <c r="O1421" s="33">
        <v>705.5706260179345</v>
      </c>
      <c r="P1421" s="33">
        <v>1466.3343737439757</v>
      </c>
      <c r="Q1421" s="33">
        <v>0</v>
      </c>
      <c r="T1421" s="33">
        <v>38924.78</v>
      </c>
      <c r="U1421" s="32">
        <v>921</v>
      </c>
      <c r="W1421" s="32">
        <v>38924.78</v>
      </c>
      <c r="X1421" s="32">
        <v>0</v>
      </c>
      <c r="Y1421" s="32" t="s">
        <v>2273</v>
      </c>
    </row>
    <row r="1422" spans="1:25" x14ac:dyDescent="0.2">
      <c r="A1422" s="32">
        <v>18</v>
      </c>
      <c r="B1422" s="32" t="s">
        <v>1742</v>
      </c>
      <c r="C1422" s="32" t="s">
        <v>1848</v>
      </c>
      <c r="D1422" s="33">
        <v>-2118578.75</v>
      </c>
      <c r="F1422" s="33">
        <v>-1884219.0815166878</v>
      </c>
      <c r="H1422" s="33">
        <v>-116083.25565312753</v>
      </c>
      <c r="I1422" s="33">
        <v>-118276.41283018446</v>
      </c>
      <c r="L1422" s="33">
        <v>-65.037466872499607</v>
      </c>
      <c r="N1422" s="33">
        <v>-118211.37536331196</v>
      </c>
      <c r="O1422" s="33">
        <v>-38402.450441744135</v>
      </c>
      <c r="P1422" s="33">
        <v>-79808.924921567828</v>
      </c>
      <c r="Q1422" s="33">
        <v>0</v>
      </c>
      <c r="T1422" s="33">
        <v>-2118578.75</v>
      </c>
      <c r="U1422" s="32">
        <v>922</v>
      </c>
      <c r="W1422" s="32">
        <v>-2118578.75</v>
      </c>
      <c r="X1422" s="32">
        <v>0</v>
      </c>
      <c r="Y1422" s="32" t="s">
        <v>2273</v>
      </c>
    </row>
    <row r="1423" spans="1:25" x14ac:dyDescent="0.2">
      <c r="A1423" s="32">
        <v>19</v>
      </c>
      <c r="B1423" s="32" t="s">
        <v>1743</v>
      </c>
      <c r="C1423" s="32" t="s">
        <v>1848</v>
      </c>
      <c r="D1423" s="33">
        <v>0</v>
      </c>
      <c r="F1423" s="33">
        <v>0</v>
      </c>
      <c r="H1423" s="33">
        <v>0</v>
      </c>
      <c r="I1423" s="33">
        <v>0</v>
      </c>
      <c r="L1423" s="33">
        <v>0</v>
      </c>
      <c r="N1423" s="33">
        <v>0</v>
      </c>
      <c r="O1423" s="33">
        <v>0</v>
      </c>
      <c r="P1423" s="33">
        <v>0</v>
      </c>
      <c r="Q1423" s="33">
        <v>0</v>
      </c>
      <c r="T1423" s="33">
        <v>0</v>
      </c>
      <c r="U1423" s="32">
        <v>923</v>
      </c>
      <c r="W1423" s="32">
        <v>0</v>
      </c>
      <c r="X1423" s="32">
        <v>0</v>
      </c>
      <c r="Y1423" s="32" t="s">
        <v>2273</v>
      </c>
    </row>
    <row r="1424" spans="1:25" x14ac:dyDescent="0.2">
      <c r="A1424" s="32">
        <v>20</v>
      </c>
      <c r="B1424" s="32" t="s">
        <v>1744</v>
      </c>
      <c r="C1424" s="32" t="s">
        <v>1848</v>
      </c>
      <c r="D1424" s="33">
        <v>0</v>
      </c>
      <c r="F1424" s="33">
        <v>0</v>
      </c>
      <c r="H1424" s="33">
        <v>0</v>
      </c>
      <c r="I1424" s="33">
        <v>0</v>
      </c>
      <c r="L1424" s="33">
        <v>0</v>
      </c>
      <c r="N1424" s="33">
        <v>0</v>
      </c>
      <c r="O1424" s="33">
        <v>0</v>
      </c>
      <c r="P1424" s="33">
        <v>0</v>
      </c>
      <c r="Q1424" s="33">
        <v>0</v>
      </c>
      <c r="T1424" s="33">
        <v>0</v>
      </c>
      <c r="U1424" s="32">
        <v>924</v>
      </c>
      <c r="W1424" s="32">
        <v>0</v>
      </c>
      <c r="X1424" s="32">
        <v>0</v>
      </c>
      <c r="Y1424" s="32" t="s">
        <v>2273</v>
      </c>
    </row>
    <row r="1425" spans="1:25" x14ac:dyDescent="0.2">
      <c r="A1425" s="32">
        <v>21</v>
      </c>
      <c r="B1425" s="32" t="s">
        <v>1745</v>
      </c>
      <c r="C1425" s="32" t="s">
        <v>1848</v>
      </c>
      <c r="D1425" s="33">
        <v>894372.42</v>
      </c>
      <c r="F1425" s="33">
        <v>795435.89292881254</v>
      </c>
      <c r="H1425" s="33">
        <v>49005.335430635445</v>
      </c>
      <c r="I1425" s="33">
        <v>49931.19164055201</v>
      </c>
      <c r="L1425" s="33">
        <v>27.456008721614577</v>
      </c>
      <c r="N1425" s="33">
        <v>49903.735631830394</v>
      </c>
      <c r="O1425" s="33">
        <v>16211.855488266732</v>
      </c>
      <c r="P1425" s="33">
        <v>33691.880143563663</v>
      </c>
      <c r="Q1425" s="33">
        <v>0</v>
      </c>
      <c r="T1425" s="33">
        <v>894372.42</v>
      </c>
      <c r="U1425" s="32">
        <v>925</v>
      </c>
      <c r="W1425" s="32">
        <v>894372.42</v>
      </c>
      <c r="X1425" s="32">
        <v>0</v>
      </c>
      <c r="Y1425" s="32" t="s">
        <v>2273</v>
      </c>
    </row>
    <row r="1426" spans="1:25" x14ac:dyDescent="0.2">
      <c r="A1426" s="32">
        <v>22</v>
      </c>
      <c r="B1426" s="32" t="s">
        <v>1746</v>
      </c>
      <c r="C1426" s="32" t="s">
        <v>1848</v>
      </c>
      <c r="D1426" s="33">
        <v>39264089.25</v>
      </c>
      <c r="F1426" s="33">
        <v>34920649.602109082</v>
      </c>
      <c r="H1426" s="33">
        <v>2151396.690066379</v>
      </c>
      <c r="I1426" s="33">
        <v>2192042.9578245357</v>
      </c>
      <c r="L1426" s="33">
        <v>1205.3537796863784</v>
      </c>
      <c r="N1426" s="33">
        <v>2190837.6040448495</v>
      </c>
      <c r="O1426" s="33">
        <v>711721.12038003956</v>
      </c>
      <c r="P1426" s="33">
        <v>1479116.48366481</v>
      </c>
      <c r="Q1426" s="33">
        <v>0</v>
      </c>
      <c r="T1426" s="33">
        <v>39264089.25</v>
      </c>
      <c r="U1426" s="32">
        <v>926</v>
      </c>
      <c r="W1426" s="32">
        <v>39264089.25</v>
      </c>
      <c r="X1426" s="32">
        <v>0</v>
      </c>
      <c r="Y1426" s="32" t="s">
        <v>2273</v>
      </c>
    </row>
    <row r="1427" spans="1:25" x14ac:dyDescent="0.2">
      <c r="A1427" s="32">
        <v>23</v>
      </c>
      <c r="B1427" s="32" t="s">
        <v>1747</v>
      </c>
      <c r="C1427" s="32" t="s">
        <v>1848</v>
      </c>
      <c r="D1427" s="33">
        <v>0</v>
      </c>
      <c r="F1427" s="33">
        <v>0</v>
      </c>
      <c r="H1427" s="33">
        <v>0</v>
      </c>
      <c r="I1427" s="33">
        <v>0</v>
      </c>
      <c r="L1427" s="33">
        <v>0</v>
      </c>
      <c r="N1427" s="33">
        <v>0</v>
      </c>
      <c r="O1427" s="33">
        <v>0</v>
      </c>
      <c r="P1427" s="33">
        <v>0</v>
      </c>
      <c r="Q1427" s="33">
        <v>0</v>
      </c>
      <c r="T1427" s="33">
        <v>0</v>
      </c>
      <c r="U1427" s="32">
        <v>927</v>
      </c>
      <c r="W1427" s="32">
        <v>0</v>
      </c>
      <c r="X1427" s="32">
        <v>0</v>
      </c>
      <c r="Y1427" s="32" t="s">
        <v>2273</v>
      </c>
    </row>
    <row r="1428" spans="1:25" x14ac:dyDescent="0.2">
      <c r="A1428" s="32">
        <v>24</v>
      </c>
      <c r="B1428" s="32" t="s">
        <v>1748</v>
      </c>
      <c r="C1428" s="32" t="s">
        <v>1848</v>
      </c>
      <c r="D1428" s="33">
        <v>0</v>
      </c>
      <c r="F1428" s="33">
        <v>0</v>
      </c>
      <c r="H1428" s="33">
        <v>0</v>
      </c>
      <c r="I1428" s="33">
        <v>0</v>
      </c>
      <c r="L1428" s="33">
        <v>0</v>
      </c>
      <c r="N1428" s="33">
        <v>0</v>
      </c>
      <c r="O1428" s="33">
        <v>0</v>
      </c>
      <c r="P1428" s="33">
        <v>0</v>
      </c>
      <c r="Q1428" s="33">
        <v>0</v>
      </c>
      <c r="T1428" s="33">
        <v>0</v>
      </c>
      <c r="U1428" s="32">
        <v>929</v>
      </c>
      <c r="W1428" s="32">
        <v>0</v>
      </c>
      <c r="X1428" s="32">
        <v>0</v>
      </c>
      <c r="Y1428" s="32" t="s">
        <v>2273</v>
      </c>
    </row>
    <row r="1429" spans="1:25" x14ac:dyDescent="0.2">
      <c r="A1429" s="32">
        <v>25</v>
      </c>
      <c r="B1429" s="32" t="s">
        <v>1749</v>
      </c>
      <c r="C1429" s="32" t="s">
        <v>1848</v>
      </c>
      <c r="D1429" s="33">
        <v>34852.629999999997</v>
      </c>
      <c r="F1429" s="33">
        <v>30997.191153286592</v>
      </c>
      <c r="H1429" s="33">
        <v>1909.6796654237482</v>
      </c>
      <c r="I1429" s="33">
        <v>1945.7591812896605</v>
      </c>
      <c r="L1429" s="33">
        <v>1.0699280208698809</v>
      </c>
      <c r="N1429" s="33">
        <v>1944.6892532687907</v>
      </c>
      <c r="O1429" s="33">
        <v>631.75673613239303</v>
      </c>
      <c r="P1429" s="33">
        <v>1312.9325171363976</v>
      </c>
      <c r="Q1429" s="33">
        <v>0</v>
      </c>
      <c r="T1429" s="33">
        <v>34852.630000000005</v>
      </c>
      <c r="U1429" s="32">
        <v>930.1</v>
      </c>
      <c r="V1429" s="32">
        <v>930.2</v>
      </c>
      <c r="W1429" s="32">
        <v>34852.630000000005</v>
      </c>
      <c r="X1429" s="32">
        <v>0</v>
      </c>
      <c r="Y1429" s="32" t="s">
        <v>2273</v>
      </c>
    </row>
    <row r="1430" spans="1:25" x14ac:dyDescent="0.2">
      <c r="A1430" s="32">
        <v>26</v>
      </c>
      <c r="B1430" s="32" t="s">
        <v>1750</v>
      </c>
      <c r="C1430" s="32" t="s">
        <v>1848</v>
      </c>
      <c r="D1430" s="33">
        <v>0</v>
      </c>
      <c r="F1430" s="33">
        <v>0</v>
      </c>
      <c r="H1430" s="33">
        <v>0</v>
      </c>
      <c r="I1430" s="33">
        <v>0</v>
      </c>
      <c r="L1430" s="33">
        <v>0</v>
      </c>
      <c r="N1430" s="33">
        <v>0</v>
      </c>
      <c r="O1430" s="33">
        <v>0</v>
      </c>
      <c r="P1430" s="33">
        <v>0</v>
      </c>
      <c r="Q1430" s="33">
        <v>0</v>
      </c>
      <c r="T1430" s="33">
        <v>0</v>
      </c>
      <c r="U1430" s="32">
        <v>931</v>
      </c>
      <c r="W1430" s="32">
        <v>0</v>
      </c>
      <c r="X1430" s="32">
        <v>0</v>
      </c>
      <c r="Y1430" s="32" t="s">
        <v>2273</v>
      </c>
    </row>
    <row r="1431" spans="1:25" x14ac:dyDescent="0.2">
      <c r="A1431" s="32">
        <v>27</v>
      </c>
      <c r="B1431" s="32" t="s">
        <v>1751</v>
      </c>
      <c r="C1431" s="32" t="s">
        <v>1848</v>
      </c>
      <c r="D1431" s="33">
        <v>5695280.1600000001</v>
      </c>
      <c r="F1431" s="33">
        <v>5065261.5825847471</v>
      </c>
      <c r="H1431" s="33">
        <v>312061.40570864553</v>
      </c>
      <c r="I1431" s="33">
        <v>317957.1717066071</v>
      </c>
      <c r="L1431" s="33">
        <v>174.83730294925513</v>
      </c>
      <c r="N1431" s="33">
        <v>317782.33440365782</v>
      </c>
      <c r="O1431" s="33">
        <v>103235.5838064781</v>
      </c>
      <c r="P1431" s="33">
        <v>214546.75059717972</v>
      </c>
      <c r="Q1431" s="33">
        <v>0</v>
      </c>
      <c r="T1431" s="33">
        <v>5695280.1600000001</v>
      </c>
      <c r="U1431" s="32">
        <v>935.3</v>
      </c>
      <c r="V1431" s="32">
        <v>935.4</v>
      </c>
      <c r="W1431" s="32">
        <v>5695280.1600000001</v>
      </c>
      <c r="X1431" s="32">
        <v>0</v>
      </c>
      <c r="Y1431" s="32" t="s">
        <v>2273</v>
      </c>
    </row>
    <row r="1432" spans="1:25" x14ac:dyDescent="0.2">
      <c r="F1432" s="33"/>
    </row>
    <row r="1433" spans="1:25" x14ac:dyDescent="0.2">
      <c r="A1433" s="32">
        <v>28</v>
      </c>
      <c r="B1433" s="32" t="s">
        <v>1752</v>
      </c>
      <c r="D1433" s="33">
        <v>65646329.549999997</v>
      </c>
      <c r="F1433" s="33">
        <v>58384455.508034714</v>
      </c>
      <c r="H1433" s="33">
        <v>3596958.411785312</v>
      </c>
      <c r="I1433" s="33">
        <v>3664915.6301799677</v>
      </c>
      <c r="L1433" s="33">
        <v>2015.2524344017502</v>
      </c>
      <c r="N1433" s="33">
        <v>3662900.377745566</v>
      </c>
      <c r="O1433" s="33">
        <v>1189939.2067565478</v>
      </c>
      <c r="P1433" s="33">
        <v>2472961.1709890179</v>
      </c>
      <c r="Q1433" s="33">
        <v>0</v>
      </c>
    </row>
    <row r="1434" spans="1:25" x14ac:dyDescent="0.2">
      <c r="F1434" s="33"/>
    </row>
    <row r="1435" spans="1:25" x14ac:dyDescent="0.2">
      <c r="A1435" s="32">
        <v>29</v>
      </c>
      <c r="B1435" s="32" t="s">
        <v>1753</v>
      </c>
      <c r="D1435" s="33">
        <v>152351955.20000002</v>
      </c>
      <c r="F1435" s="33">
        <v>135498603.05840206</v>
      </c>
      <c r="H1435" s="33">
        <v>8347818.5386006702</v>
      </c>
      <c r="I1435" s="33">
        <v>8505533.6029972769</v>
      </c>
      <c r="L1435" s="33">
        <v>4676.9964247401913</v>
      </c>
      <c r="N1435" s="33">
        <v>8500856.6065725368</v>
      </c>
      <c r="O1435" s="33">
        <v>2761610.0696142744</v>
      </c>
      <c r="P1435" s="33">
        <v>5739246.5369582623</v>
      </c>
      <c r="Q1435" s="33">
        <v>0</v>
      </c>
      <c r="U1435" s="32" t="s">
        <v>721</v>
      </c>
    </row>
    <row r="1436" spans="1:25" x14ac:dyDescent="0.2">
      <c r="A1436" s="32">
        <v>2</v>
      </c>
      <c r="B1436" s="32" t="s">
        <v>1158</v>
      </c>
      <c r="C1436" s="32" t="s">
        <v>667</v>
      </c>
      <c r="D1436" s="33">
        <v>288658.21000000002</v>
      </c>
      <c r="F1436" s="33">
        <v>273009.01711972436</v>
      </c>
      <c r="H1436" s="33">
        <v>15273.81714055484</v>
      </c>
      <c r="I1436" s="33">
        <v>375.37573972082112</v>
      </c>
      <c r="L1436" s="33">
        <v>3.0580508327561806</v>
      </c>
      <c r="N1436" s="33">
        <v>372.31768888806494</v>
      </c>
      <c r="O1436" s="33">
        <v>199.53781683734076</v>
      </c>
      <c r="P1436" s="33">
        <v>172.77987205072418</v>
      </c>
      <c r="Q1436" s="33">
        <v>0</v>
      </c>
      <c r="T1436" s="33">
        <v>288658.21000000002</v>
      </c>
      <c r="U1436" s="32">
        <v>902</v>
      </c>
      <c r="W1436" s="32">
        <v>288658.21000000002</v>
      </c>
      <c r="X1436" s="32">
        <v>0</v>
      </c>
      <c r="Y1436" s="32" t="s">
        <v>2273</v>
      </c>
    </row>
    <row r="1437" spans="1:25" x14ac:dyDescent="0.2">
      <c r="A1437" s="32">
        <v>3</v>
      </c>
      <c r="B1437" s="32" t="s">
        <v>1159</v>
      </c>
      <c r="C1437" s="32" t="s">
        <v>667</v>
      </c>
      <c r="D1437" s="33">
        <v>8123050.1399999978</v>
      </c>
      <c r="F1437" s="33">
        <v>7682670.5699298782</v>
      </c>
      <c r="H1437" s="33">
        <v>429816.22612403211</v>
      </c>
      <c r="I1437" s="33">
        <v>10563.34394608703</v>
      </c>
      <c r="L1437" s="33">
        <v>86.055755161605134</v>
      </c>
      <c r="N1437" s="33">
        <v>10477.288190925425</v>
      </c>
      <c r="O1437" s="33">
        <v>5615.1380242947353</v>
      </c>
      <c r="P1437" s="33">
        <v>4862.1501666306904</v>
      </c>
      <c r="Q1437" s="33">
        <v>0</v>
      </c>
      <c r="T1437" s="33">
        <v>8123050.1399999978</v>
      </c>
      <c r="U1437" s="32">
        <v>903</v>
      </c>
      <c r="W1437" s="32">
        <v>8123050.1399999978</v>
      </c>
      <c r="X1437" s="32">
        <v>0</v>
      </c>
      <c r="Y1437" s="32" t="s">
        <v>2273</v>
      </c>
    </row>
    <row r="1438" spans="1:25" x14ac:dyDescent="0.2">
      <c r="A1438" s="32">
        <v>4</v>
      </c>
      <c r="B1438" s="32" t="s">
        <v>1160</v>
      </c>
      <c r="C1438" s="32" t="s">
        <v>667</v>
      </c>
      <c r="D1438" s="33">
        <v>0</v>
      </c>
      <c r="F1438" s="33">
        <v>0</v>
      </c>
      <c r="H1438" s="33">
        <v>0</v>
      </c>
      <c r="I1438" s="33">
        <v>0</v>
      </c>
      <c r="L1438" s="33">
        <v>0</v>
      </c>
      <c r="N1438" s="33">
        <v>0</v>
      </c>
      <c r="O1438" s="33">
        <v>0</v>
      </c>
      <c r="P1438" s="33">
        <v>0</v>
      </c>
      <c r="Q1438" s="33">
        <v>0</v>
      </c>
      <c r="T1438" s="33">
        <v>0</v>
      </c>
      <c r="U1438" s="32">
        <v>904</v>
      </c>
      <c r="W1438" s="32">
        <v>0</v>
      </c>
      <c r="X1438" s="32">
        <v>0</v>
      </c>
      <c r="Y1438" s="32" t="s">
        <v>2273</v>
      </c>
    </row>
    <row r="1439" spans="1:25" x14ac:dyDescent="0.2">
      <c r="A1439" s="32">
        <v>5</v>
      </c>
      <c r="B1439" s="32" t="s">
        <v>1161</v>
      </c>
      <c r="C1439" s="32" t="s">
        <v>667</v>
      </c>
      <c r="D1439" s="33">
        <v>309402.39999999997</v>
      </c>
      <c r="F1439" s="33">
        <v>292628.59046511719</v>
      </c>
      <c r="H1439" s="33">
        <v>16371.457719663696</v>
      </c>
      <c r="I1439" s="33">
        <v>402.35181521910425</v>
      </c>
      <c r="L1439" s="33">
        <v>3.2778151952676517</v>
      </c>
      <c r="N1439" s="33">
        <v>399.07400002383662</v>
      </c>
      <c r="O1439" s="33">
        <v>213.87744149121428</v>
      </c>
      <c r="P1439" s="33">
        <v>185.19655853262233</v>
      </c>
      <c r="Q1439" s="33">
        <v>0</v>
      </c>
      <c r="T1439" s="33">
        <v>309402.40000000002</v>
      </c>
      <c r="U1439" s="32">
        <v>905</v>
      </c>
      <c r="W1439" s="32">
        <v>309402.40000000002</v>
      </c>
      <c r="X1439" s="32">
        <v>0</v>
      </c>
      <c r="Y1439" s="32" t="s">
        <v>2273</v>
      </c>
    </row>
    <row r="1440" spans="1:25" x14ac:dyDescent="0.2">
      <c r="F1440" s="33"/>
    </row>
    <row r="1441" spans="1:25" x14ac:dyDescent="0.2">
      <c r="A1441" s="32">
        <v>6</v>
      </c>
      <c r="B1441" s="32" t="s">
        <v>1162</v>
      </c>
      <c r="D1441" s="33">
        <v>10742122.679999998</v>
      </c>
      <c r="F1441" s="33">
        <v>10159753.830131138</v>
      </c>
      <c r="H1441" s="33">
        <v>568399.62222355243</v>
      </c>
      <c r="I1441" s="33">
        <v>13969.227645306915</v>
      </c>
      <c r="L1441" s="33">
        <v>113.8022618762274</v>
      </c>
      <c r="N1441" s="33">
        <v>13855.425383430687</v>
      </c>
      <c r="O1441" s="33">
        <v>7425.5975874238384</v>
      </c>
      <c r="P1441" s="33">
        <v>6429.827796006849</v>
      </c>
      <c r="Q1441" s="33">
        <v>0</v>
      </c>
    </row>
    <row r="1442" spans="1:25" x14ac:dyDescent="0.2">
      <c r="F1442" s="33"/>
    </row>
    <row r="1443" spans="1:25" x14ac:dyDescent="0.2">
      <c r="B1443" s="32" t="s">
        <v>1163</v>
      </c>
      <c r="F1443" s="33"/>
    </row>
    <row r="1444" spans="1:25" x14ac:dyDescent="0.2">
      <c r="A1444" s="32">
        <v>7</v>
      </c>
      <c r="B1444" s="32" t="s">
        <v>1164</v>
      </c>
      <c r="C1444" s="32" t="s">
        <v>671</v>
      </c>
      <c r="D1444" s="33">
        <v>163874.9</v>
      </c>
      <c r="F1444" s="33">
        <v>163720.08087188561</v>
      </c>
      <c r="H1444" s="33">
        <v>154.79226378536947</v>
      </c>
      <c r="I1444" s="33">
        <v>2.6864329015163044E-2</v>
      </c>
      <c r="L1444" s="33">
        <v>2.6864329015163044E-2</v>
      </c>
      <c r="N1444" s="33">
        <v>0</v>
      </c>
      <c r="O1444" s="33">
        <v>0</v>
      </c>
      <c r="P1444" s="33">
        <v>0</v>
      </c>
      <c r="Q1444" s="33">
        <v>0</v>
      </c>
      <c r="T1444" s="33">
        <v>163874.9</v>
      </c>
      <c r="U1444" s="32">
        <v>907</v>
      </c>
      <c r="W1444" s="32">
        <v>163874.9</v>
      </c>
      <c r="X1444" s="32">
        <v>0</v>
      </c>
      <c r="Y1444" s="32" t="s">
        <v>2273</v>
      </c>
    </row>
    <row r="1445" spans="1:25" x14ac:dyDescent="0.2">
      <c r="A1445" s="32">
        <v>8</v>
      </c>
      <c r="B1445" s="32" t="s">
        <v>1165</v>
      </c>
      <c r="C1445" s="32" t="s">
        <v>671</v>
      </c>
      <c r="D1445" s="33">
        <v>545268.77999999991</v>
      </c>
      <c r="F1445" s="33">
        <v>544753.64292221935</v>
      </c>
      <c r="H1445" s="33">
        <v>515.04769081590041</v>
      </c>
      <c r="I1445" s="33">
        <v>8.9386964737226723E-2</v>
      </c>
      <c r="L1445" s="33">
        <v>8.9386964737226723E-2</v>
      </c>
      <c r="N1445" s="33">
        <v>0</v>
      </c>
      <c r="O1445" s="33">
        <v>0</v>
      </c>
      <c r="P1445" s="33">
        <v>0</v>
      </c>
      <c r="Q1445" s="33">
        <v>0</v>
      </c>
      <c r="T1445" s="33">
        <v>545268.78</v>
      </c>
      <c r="U1445" s="32">
        <v>908</v>
      </c>
      <c r="W1445" s="32">
        <v>545268.78</v>
      </c>
      <c r="X1445" s="32">
        <v>0</v>
      </c>
      <c r="Y1445" s="32" t="s">
        <v>2273</v>
      </c>
    </row>
    <row r="1446" spans="1:25" x14ac:dyDescent="0.2">
      <c r="A1446" s="32">
        <v>9</v>
      </c>
      <c r="B1446" s="32" t="s">
        <v>1166</v>
      </c>
      <c r="C1446" s="32" t="s">
        <v>671</v>
      </c>
      <c r="D1446" s="33">
        <v>0</v>
      </c>
      <c r="F1446" s="33">
        <v>0</v>
      </c>
      <c r="H1446" s="33">
        <v>0</v>
      </c>
      <c r="I1446" s="33">
        <v>0</v>
      </c>
      <c r="L1446" s="33">
        <v>0</v>
      </c>
      <c r="N1446" s="33">
        <v>0</v>
      </c>
      <c r="O1446" s="33">
        <v>0</v>
      </c>
      <c r="P1446" s="33">
        <v>0</v>
      </c>
      <c r="Q1446" s="33">
        <v>0</v>
      </c>
      <c r="T1446" s="33">
        <v>0</v>
      </c>
      <c r="U1446" s="32">
        <v>909</v>
      </c>
      <c r="W1446" s="32">
        <v>0</v>
      </c>
      <c r="X1446" s="32">
        <v>0</v>
      </c>
      <c r="Y1446" s="32" t="s">
        <v>2273</v>
      </c>
    </row>
    <row r="1447" spans="1:25" x14ac:dyDescent="0.2">
      <c r="A1447" s="32">
        <v>10</v>
      </c>
      <c r="B1447" s="32" t="s">
        <v>1167</v>
      </c>
      <c r="C1447" s="32" t="s">
        <v>671</v>
      </c>
      <c r="D1447" s="33">
        <v>529982.25</v>
      </c>
      <c r="F1447" s="33">
        <v>529481.55471438216</v>
      </c>
      <c r="H1447" s="33">
        <v>500.6084046035337</v>
      </c>
      <c r="I1447" s="33">
        <v>8.6881014335913512E-2</v>
      </c>
      <c r="L1447" s="33">
        <v>8.6881014335913512E-2</v>
      </c>
      <c r="N1447" s="33">
        <v>0</v>
      </c>
      <c r="O1447" s="33">
        <v>0</v>
      </c>
      <c r="P1447" s="33">
        <v>0</v>
      </c>
      <c r="Q1447" s="33">
        <v>0</v>
      </c>
      <c r="T1447" s="33">
        <v>529982.25</v>
      </c>
      <c r="U1447" s="32">
        <v>910</v>
      </c>
      <c r="W1447" s="32">
        <v>529982.25</v>
      </c>
      <c r="X1447" s="32">
        <v>0</v>
      </c>
      <c r="Y1447" s="32" t="s">
        <v>2273</v>
      </c>
    </row>
    <row r="1448" spans="1:25" x14ac:dyDescent="0.2">
      <c r="A1448" s="32">
        <v>11</v>
      </c>
      <c r="B1448" s="32" t="s">
        <v>1332</v>
      </c>
      <c r="C1448" s="32" t="s">
        <v>671</v>
      </c>
      <c r="D1448" s="33">
        <v>0</v>
      </c>
      <c r="F1448" s="33">
        <v>0</v>
      </c>
      <c r="H1448" s="33">
        <v>0</v>
      </c>
      <c r="I1448" s="33">
        <v>0</v>
      </c>
      <c r="L1448" s="33">
        <v>0</v>
      </c>
      <c r="N1448" s="33">
        <v>0</v>
      </c>
      <c r="O1448" s="33">
        <v>0</v>
      </c>
      <c r="P1448" s="33">
        <v>0</v>
      </c>
      <c r="Q1448" s="33">
        <v>0</v>
      </c>
      <c r="T1448" s="33">
        <v>0</v>
      </c>
      <c r="U1448" s="32">
        <v>912</v>
      </c>
      <c r="W1448" s="32">
        <v>0</v>
      </c>
      <c r="X1448" s="32">
        <v>0</v>
      </c>
      <c r="Y1448" s="32" t="s">
        <v>2273</v>
      </c>
    </row>
    <row r="1449" spans="1:25" x14ac:dyDescent="0.2">
      <c r="A1449" s="32">
        <v>12</v>
      </c>
      <c r="B1449" s="32" t="s">
        <v>1333</v>
      </c>
      <c r="C1449" s="32" t="s">
        <v>671</v>
      </c>
      <c r="D1449" s="33">
        <v>0</v>
      </c>
      <c r="F1449" s="33">
        <v>0</v>
      </c>
      <c r="H1449" s="33">
        <v>0</v>
      </c>
      <c r="I1449" s="33">
        <v>0</v>
      </c>
      <c r="L1449" s="33">
        <v>0</v>
      </c>
      <c r="N1449" s="33">
        <v>0</v>
      </c>
      <c r="O1449" s="33">
        <v>0</v>
      </c>
      <c r="P1449" s="33">
        <v>0</v>
      </c>
      <c r="Q1449" s="33">
        <v>0</v>
      </c>
      <c r="T1449" s="33">
        <v>0</v>
      </c>
      <c r="U1449" s="32">
        <v>913</v>
      </c>
      <c r="W1449" s="32">
        <v>0</v>
      </c>
      <c r="X1449" s="32">
        <v>0</v>
      </c>
      <c r="Y1449" s="32" t="s">
        <v>2273</v>
      </c>
    </row>
    <row r="1450" spans="1:25" x14ac:dyDescent="0.2">
      <c r="A1450" s="32">
        <v>13</v>
      </c>
      <c r="B1450" s="32" t="s">
        <v>1334</v>
      </c>
      <c r="C1450" s="32" t="s">
        <v>671</v>
      </c>
      <c r="D1450" s="33">
        <v>0</v>
      </c>
      <c r="F1450" s="33">
        <v>0</v>
      </c>
      <c r="H1450" s="33">
        <v>0</v>
      </c>
      <c r="I1450" s="33">
        <v>0</v>
      </c>
      <c r="L1450" s="33">
        <v>0</v>
      </c>
      <c r="N1450" s="33">
        <v>0</v>
      </c>
      <c r="O1450" s="33">
        <v>0</v>
      </c>
      <c r="P1450" s="33">
        <v>0</v>
      </c>
      <c r="Q1450" s="33">
        <v>0</v>
      </c>
      <c r="T1450" s="33">
        <v>0</v>
      </c>
      <c r="U1450" s="32">
        <v>916</v>
      </c>
      <c r="W1450" s="32" t="e">
        <v>#VALUE!</v>
      </c>
      <c r="X1450" s="32" t="e">
        <v>#VALUE!</v>
      </c>
      <c r="Y1450" s="32" t="s">
        <v>2273</v>
      </c>
    </row>
    <row r="1451" spans="1:25" x14ac:dyDescent="0.2">
      <c r="F1451" s="33"/>
    </row>
    <row r="1452" spans="1:25" x14ac:dyDescent="0.2">
      <c r="A1452" s="32">
        <v>14</v>
      </c>
      <c r="B1452" s="32" t="s">
        <v>1737</v>
      </c>
      <c r="D1452" s="33">
        <v>1239125.93</v>
      </c>
      <c r="F1452" s="33">
        <v>1237955.2785084872</v>
      </c>
      <c r="H1452" s="33">
        <v>1170.4483592048036</v>
      </c>
      <c r="I1452" s="33">
        <v>0.20313230808830329</v>
      </c>
      <c r="L1452" s="33">
        <v>0.20313230808830329</v>
      </c>
      <c r="N1452" s="33">
        <v>0</v>
      </c>
      <c r="O1452" s="33">
        <v>0</v>
      </c>
      <c r="P1452" s="33">
        <v>0</v>
      </c>
      <c r="Q1452" s="33">
        <v>0</v>
      </c>
    </row>
    <row r="1453" spans="1:25" x14ac:dyDescent="0.2">
      <c r="F1453" s="33"/>
    </row>
    <row r="1454" spans="1:25" x14ac:dyDescent="0.2">
      <c r="A1454" s="32">
        <v>15</v>
      </c>
      <c r="B1454" s="32" t="s">
        <v>1738</v>
      </c>
      <c r="D1454" s="33">
        <v>70542402.319999993</v>
      </c>
      <c r="F1454" s="33">
        <v>62921478.061660543</v>
      </c>
      <c r="H1454" s="33">
        <v>3864868.7746748319</v>
      </c>
      <c r="I1454" s="33">
        <v>3756055.4836646183</v>
      </c>
      <c r="L1454" s="33">
        <v>2544.3253779539077</v>
      </c>
      <c r="N1454" s="33">
        <v>3753511.1582866646</v>
      </c>
      <c r="O1454" s="33">
        <v>1157152.3870143902</v>
      </c>
      <c r="P1454" s="33">
        <v>2596358.7712722742</v>
      </c>
    </row>
    <row r="1455" spans="1:25" x14ac:dyDescent="0.2">
      <c r="F1455" s="33"/>
    </row>
    <row r="1456" spans="1:25" x14ac:dyDescent="0.2">
      <c r="B1456" s="32" t="s">
        <v>1739</v>
      </c>
      <c r="F1456" s="33"/>
    </row>
    <row r="1457" spans="1:25" x14ac:dyDescent="0.2">
      <c r="A1457" s="32">
        <v>16</v>
      </c>
      <c r="B1457" s="32" t="s">
        <v>1740</v>
      </c>
      <c r="C1457" s="32" t="s">
        <v>1848</v>
      </c>
      <c r="D1457" s="33">
        <v>18058724.089999985</v>
      </c>
      <c r="F1457" s="33">
        <v>16107781.621839654</v>
      </c>
      <c r="H1457" s="33">
        <v>989399.23436830752</v>
      </c>
      <c r="I1457" s="33">
        <v>961543.23379202432</v>
      </c>
      <c r="L1457" s="33">
        <v>651.34257530988145</v>
      </c>
      <c r="N1457" s="33">
        <v>960891.8912167144</v>
      </c>
      <c r="O1457" s="33">
        <v>296228.86377450713</v>
      </c>
      <c r="P1457" s="33">
        <v>664663.02744220733</v>
      </c>
      <c r="Q1457" s="33">
        <v>0</v>
      </c>
      <c r="T1457" s="33">
        <v>18058724.089999985</v>
      </c>
      <c r="U1457" s="32">
        <v>920</v>
      </c>
      <c r="W1457" s="32">
        <v>18058724.089999985</v>
      </c>
      <c r="X1457" s="32">
        <v>0</v>
      </c>
      <c r="Y1457" s="32" t="s">
        <v>2273</v>
      </c>
    </row>
    <row r="1458" spans="1:25" x14ac:dyDescent="0.2">
      <c r="A1458" s="32">
        <v>17</v>
      </c>
      <c r="B1458" s="32" t="s">
        <v>1741</v>
      </c>
      <c r="C1458" s="32" t="s">
        <v>1848</v>
      </c>
      <c r="D1458" s="33">
        <v>3312</v>
      </c>
      <c r="F1458" s="33">
        <v>2954.1939101375892</v>
      </c>
      <c r="H1458" s="33">
        <v>181.45746332335915</v>
      </c>
      <c r="I1458" s="33">
        <v>176.34862653905176</v>
      </c>
      <c r="L1458" s="33">
        <v>0.11945731042100047</v>
      </c>
      <c r="N1458" s="33">
        <v>176.22916922863075</v>
      </c>
      <c r="O1458" s="33">
        <v>54.328865756604422</v>
      </c>
      <c r="P1458" s="33">
        <v>121.90030347202632</v>
      </c>
      <c r="Q1458" s="33">
        <v>0</v>
      </c>
      <c r="T1458" s="33">
        <v>3312</v>
      </c>
      <c r="U1458" s="32">
        <v>921</v>
      </c>
      <c r="W1458" s="32">
        <v>3312</v>
      </c>
      <c r="X1458" s="32">
        <v>0</v>
      </c>
      <c r="Y1458" s="32" t="s">
        <v>2273</v>
      </c>
    </row>
    <row r="1459" spans="1:25" x14ac:dyDescent="0.2">
      <c r="A1459" s="32">
        <v>18</v>
      </c>
      <c r="B1459" s="32" t="s">
        <v>1742</v>
      </c>
      <c r="C1459" s="32" t="s">
        <v>1848</v>
      </c>
      <c r="D1459" s="33">
        <v>-1613266.03</v>
      </c>
      <c r="F1459" s="33">
        <v>-1438979.6742928277</v>
      </c>
      <c r="H1459" s="33">
        <v>-88387.427979935455</v>
      </c>
      <c r="I1459" s="33">
        <v>-85898.927727236907</v>
      </c>
      <c r="L1459" s="33">
        <v>-58.187325162247909</v>
      </c>
      <c r="N1459" s="33">
        <v>-85840.740402074662</v>
      </c>
      <c r="O1459" s="33">
        <v>-26463.440088635314</v>
      </c>
      <c r="P1459" s="33">
        <v>-59377.300313439351</v>
      </c>
      <c r="Q1459" s="33">
        <v>0</v>
      </c>
      <c r="T1459" s="33">
        <v>-1613266.03</v>
      </c>
      <c r="U1459" s="32">
        <v>922</v>
      </c>
      <c r="W1459" s="32">
        <v>-1613266.03</v>
      </c>
      <c r="X1459" s="32">
        <v>0</v>
      </c>
      <c r="Y1459" s="32" t="s">
        <v>2273</v>
      </c>
    </row>
    <row r="1460" spans="1:25" x14ac:dyDescent="0.2">
      <c r="A1460" s="32">
        <v>19</v>
      </c>
      <c r="B1460" s="32" t="s">
        <v>1743</v>
      </c>
      <c r="C1460" s="32" t="s">
        <v>1848</v>
      </c>
      <c r="D1460" s="33">
        <v>0</v>
      </c>
      <c r="F1460" s="33">
        <v>0</v>
      </c>
      <c r="H1460" s="33">
        <v>0</v>
      </c>
      <c r="I1460" s="33">
        <v>0</v>
      </c>
      <c r="L1460" s="33">
        <v>0</v>
      </c>
      <c r="N1460" s="33">
        <v>0</v>
      </c>
      <c r="O1460" s="33">
        <v>0</v>
      </c>
      <c r="P1460" s="33">
        <v>0</v>
      </c>
      <c r="Q1460" s="33">
        <v>0</v>
      </c>
      <c r="T1460" s="33">
        <v>0</v>
      </c>
      <c r="U1460" s="32">
        <v>923</v>
      </c>
      <c r="W1460" s="32">
        <v>0</v>
      </c>
      <c r="X1460" s="32">
        <v>0</v>
      </c>
      <c r="Y1460" s="32" t="s">
        <v>2273</v>
      </c>
    </row>
    <row r="1461" spans="1:25" x14ac:dyDescent="0.2">
      <c r="A1461" s="32">
        <v>20</v>
      </c>
      <c r="B1461" s="32" t="s">
        <v>1744</v>
      </c>
      <c r="C1461" s="32" t="s">
        <v>1848</v>
      </c>
      <c r="D1461" s="33">
        <v>0</v>
      </c>
      <c r="F1461" s="33">
        <v>0</v>
      </c>
      <c r="H1461" s="33">
        <v>0</v>
      </c>
      <c r="I1461" s="33">
        <v>0</v>
      </c>
      <c r="L1461" s="33">
        <v>0</v>
      </c>
      <c r="N1461" s="33">
        <v>0</v>
      </c>
      <c r="O1461" s="33">
        <v>0</v>
      </c>
      <c r="P1461" s="33">
        <v>0</v>
      </c>
      <c r="Q1461" s="33">
        <v>0</v>
      </c>
      <c r="T1461" s="33">
        <v>0</v>
      </c>
      <c r="U1461" s="32">
        <v>924</v>
      </c>
      <c r="W1461" s="32">
        <v>0</v>
      </c>
      <c r="X1461" s="32">
        <v>0</v>
      </c>
      <c r="Y1461" s="32" t="s">
        <v>2273</v>
      </c>
    </row>
    <row r="1462" spans="1:25" x14ac:dyDescent="0.2">
      <c r="A1462" s="32">
        <v>21</v>
      </c>
      <c r="B1462" s="32" t="s">
        <v>1745</v>
      </c>
      <c r="C1462" s="32" t="s">
        <v>1848</v>
      </c>
      <c r="D1462" s="33">
        <v>274306.96000000002</v>
      </c>
      <c r="F1462" s="33">
        <v>244672.69044092853</v>
      </c>
      <c r="H1462" s="33">
        <v>15028.697202156445</v>
      </c>
      <c r="I1462" s="33">
        <v>14605.572356915038</v>
      </c>
      <c r="L1462" s="33">
        <v>9.8937112534302418</v>
      </c>
      <c r="N1462" s="33">
        <v>14595.678645661608</v>
      </c>
      <c r="O1462" s="33">
        <v>4499.6334559004408</v>
      </c>
      <c r="P1462" s="33">
        <v>10096.045189761167</v>
      </c>
      <c r="Q1462" s="33">
        <v>0</v>
      </c>
      <c r="T1462" s="33">
        <v>274306.96000000002</v>
      </c>
      <c r="U1462" s="32">
        <v>925</v>
      </c>
      <c r="W1462" s="32">
        <v>274306.96000000002</v>
      </c>
      <c r="X1462" s="32">
        <v>0</v>
      </c>
      <c r="Y1462" s="32" t="s">
        <v>2273</v>
      </c>
    </row>
    <row r="1463" spans="1:25" x14ac:dyDescent="0.2">
      <c r="A1463" s="32">
        <v>22</v>
      </c>
      <c r="B1463" s="32" t="s">
        <v>1746</v>
      </c>
      <c r="C1463" s="32" t="s">
        <v>1848</v>
      </c>
      <c r="D1463" s="33">
        <v>37283933.50999999</v>
      </c>
      <c r="F1463" s="33">
        <v>33256029.38442535</v>
      </c>
      <c r="H1463" s="33">
        <v>2042707.7286960701</v>
      </c>
      <c r="I1463" s="33">
        <v>1985196.3968785703</v>
      </c>
      <c r="L1463" s="33">
        <v>1344.7579767572495</v>
      </c>
      <c r="N1463" s="33">
        <v>1983851.638901813</v>
      </c>
      <c r="O1463" s="33">
        <v>611592.33651659254</v>
      </c>
      <c r="P1463" s="33">
        <v>1372259.3023852205</v>
      </c>
      <c r="Q1463" s="33">
        <v>0</v>
      </c>
      <c r="T1463" s="33">
        <v>37283933.50999999</v>
      </c>
      <c r="U1463" s="32">
        <v>926</v>
      </c>
      <c r="W1463" s="32">
        <v>37283933.50999999</v>
      </c>
      <c r="X1463" s="32">
        <v>0</v>
      </c>
      <c r="Y1463" s="32" t="s">
        <v>2273</v>
      </c>
    </row>
    <row r="1464" spans="1:25" x14ac:dyDescent="0.2">
      <c r="A1464" s="32">
        <v>23</v>
      </c>
      <c r="B1464" s="32" t="s">
        <v>1747</v>
      </c>
      <c r="C1464" s="32" t="s">
        <v>1848</v>
      </c>
      <c r="D1464" s="33">
        <v>0</v>
      </c>
      <c r="F1464" s="33">
        <v>0</v>
      </c>
      <c r="H1464" s="33">
        <v>0</v>
      </c>
      <c r="I1464" s="33">
        <v>0</v>
      </c>
      <c r="L1464" s="33">
        <v>0</v>
      </c>
      <c r="N1464" s="33">
        <v>0</v>
      </c>
      <c r="O1464" s="33">
        <v>0</v>
      </c>
      <c r="P1464" s="33">
        <v>0</v>
      </c>
      <c r="Q1464" s="33">
        <v>0</v>
      </c>
      <c r="T1464" s="33">
        <v>0</v>
      </c>
      <c r="U1464" s="32">
        <v>927</v>
      </c>
      <c r="W1464" s="32">
        <v>0</v>
      </c>
      <c r="X1464" s="32">
        <v>0</v>
      </c>
      <c r="Y1464" s="32" t="s">
        <v>2273</v>
      </c>
    </row>
    <row r="1465" spans="1:25" x14ac:dyDescent="0.2">
      <c r="A1465" s="32">
        <v>24</v>
      </c>
      <c r="B1465" s="32" t="s">
        <v>1748</v>
      </c>
      <c r="C1465" s="32" t="s">
        <v>1848</v>
      </c>
      <c r="D1465" s="33">
        <v>0</v>
      </c>
      <c r="F1465" s="33">
        <v>0</v>
      </c>
      <c r="H1465" s="33">
        <v>0</v>
      </c>
      <c r="I1465" s="33">
        <v>0</v>
      </c>
      <c r="L1465" s="33">
        <v>0</v>
      </c>
      <c r="N1465" s="33">
        <v>0</v>
      </c>
      <c r="O1465" s="33">
        <v>0</v>
      </c>
      <c r="P1465" s="33">
        <v>0</v>
      </c>
      <c r="Q1465" s="33">
        <v>0</v>
      </c>
      <c r="T1465" s="33">
        <v>0</v>
      </c>
      <c r="U1465" s="32">
        <v>929</v>
      </c>
      <c r="W1465" s="32">
        <v>0</v>
      </c>
      <c r="X1465" s="32">
        <v>0</v>
      </c>
      <c r="Y1465" s="32" t="s">
        <v>2273</v>
      </c>
    </row>
    <row r="1466" spans="1:25" x14ac:dyDescent="0.2">
      <c r="A1466" s="32">
        <v>25</v>
      </c>
      <c r="B1466" s="32" t="s">
        <v>1749</v>
      </c>
      <c r="C1466" s="32" t="s">
        <v>1848</v>
      </c>
      <c r="D1466" s="33">
        <v>247.58999999999997</v>
      </c>
      <c r="F1466" s="33">
        <v>220.84205018447028</v>
      </c>
      <c r="H1466" s="33">
        <v>13.564931565286983</v>
      </c>
      <c r="I1466" s="33">
        <v>13.183018250242698</v>
      </c>
      <c r="L1466" s="33">
        <v>8.9300831784829421E-3</v>
      </c>
      <c r="N1466" s="33">
        <v>13.174088167064216</v>
      </c>
      <c r="O1466" s="33">
        <v>4.0613779808809447</v>
      </c>
      <c r="P1466" s="33">
        <v>9.1127101861832713</v>
      </c>
      <c r="Q1466" s="33">
        <v>0</v>
      </c>
      <c r="T1466" s="33">
        <v>247.58999999999997</v>
      </c>
      <c r="U1466" s="32">
        <v>930</v>
      </c>
      <c r="W1466" s="32">
        <v>247.58999999999997</v>
      </c>
      <c r="X1466" s="32">
        <v>0</v>
      </c>
      <c r="Y1466" s="32" t="s">
        <v>2273</v>
      </c>
    </row>
    <row r="1467" spans="1:25" x14ac:dyDescent="0.2">
      <c r="A1467" s="32">
        <v>26</v>
      </c>
      <c r="B1467" s="32" t="s">
        <v>1750</v>
      </c>
      <c r="C1467" s="32" t="s">
        <v>1848</v>
      </c>
      <c r="D1467" s="33">
        <v>0</v>
      </c>
      <c r="F1467" s="33">
        <v>0</v>
      </c>
      <c r="H1467" s="33">
        <v>0</v>
      </c>
      <c r="I1467" s="33">
        <v>0</v>
      </c>
      <c r="L1467" s="33">
        <v>0</v>
      </c>
      <c r="N1467" s="33">
        <v>0</v>
      </c>
      <c r="O1467" s="33">
        <v>0</v>
      </c>
      <c r="P1467" s="33">
        <v>0</v>
      </c>
      <c r="Q1467" s="33">
        <v>0</v>
      </c>
      <c r="T1467" s="33">
        <v>0</v>
      </c>
      <c r="U1467" s="32">
        <v>931</v>
      </c>
      <c r="W1467" s="32">
        <v>0</v>
      </c>
      <c r="X1467" s="32">
        <v>0</v>
      </c>
      <c r="Y1467" s="32" t="s">
        <v>2273</v>
      </c>
    </row>
    <row r="1468" spans="1:25" x14ac:dyDescent="0.2">
      <c r="A1468" s="32">
        <v>27</v>
      </c>
      <c r="B1468" s="32" t="s">
        <v>1751</v>
      </c>
      <c r="C1468" s="32" t="s">
        <v>1848</v>
      </c>
      <c r="D1468" s="33">
        <v>4493982.97</v>
      </c>
      <c r="F1468" s="33">
        <v>4008483.4306268222</v>
      </c>
      <c r="H1468" s="33">
        <v>246215.8061457052</v>
      </c>
      <c r="I1468" s="33">
        <v>239283.7332274724</v>
      </c>
      <c r="L1468" s="33">
        <v>162.08910587982476</v>
      </c>
      <c r="N1468" s="33">
        <v>239121.64412159257</v>
      </c>
      <c r="O1468" s="33">
        <v>73717.692478742887</v>
      </c>
      <c r="P1468" s="33">
        <v>165403.95164284969</v>
      </c>
      <c r="Q1468" s="33">
        <v>0</v>
      </c>
      <c r="T1468" s="33">
        <v>4493982.97</v>
      </c>
      <c r="U1468" s="32">
        <v>935</v>
      </c>
      <c r="W1468" s="32">
        <v>4493982.97</v>
      </c>
      <c r="X1468" s="32">
        <v>0</v>
      </c>
      <c r="Y1468" s="32" t="s">
        <v>2273</v>
      </c>
    </row>
    <row r="1469" spans="1:25" x14ac:dyDescent="0.2">
      <c r="F1469" s="33"/>
    </row>
    <row r="1470" spans="1:25" x14ac:dyDescent="0.2">
      <c r="A1470" s="32">
        <v>28</v>
      </c>
      <c r="B1470" s="32" t="s">
        <v>1752</v>
      </c>
      <c r="D1470" s="33">
        <v>58501241.089999981</v>
      </c>
      <c r="F1470" s="33">
        <v>52181162.489000253</v>
      </c>
      <c r="H1470" s="33">
        <v>3205159.0608271929</v>
      </c>
      <c r="I1470" s="33">
        <v>3114919.5401725345</v>
      </c>
      <c r="L1470" s="33">
        <v>2110.0244314317379</v>
      </c>
      <c r="N1470" s="33">
        <v>3112809.5157411029</v>
      </c>
      <c r="O1470" s="33">
        <v>959633.47638084518</v>
      </c>
      <c r="P1470" s="33">
        <v>2153176.0393602578</v>
      </c>
      <c r="Q1470" s="33">
        <v>0</v>
      </c>
    </row>
    <row r="1471" spans="1:25" x14ac:dyDescent="0.2">
      <c r="F1471" s="33"/>
    </row>
    <row r="1472" spans="1:25" x14ac:dyDescent="0.2">
      <c r="A1472" s="32">
        <v>29</v>
      </c>
      <c r="B1472" s="32" t="s">
        <v>1753</v>
      </c>
      <c r="D1472" s="33">
        <v>129043643.40999997</v>
      </c>
      <c r="F1472" s="33">
        <v>115102640.55066079</v>
      </c>
      <c r="H1472" s="33">
        <v>7070027.8355020247</v>
      </c>
      <c r="I1472" s="33">
        <v>6870975.0238371538</v>
      </c>
      <c r="L1472" s="33">
        <v>4654.3498093856451</v>
      </c>
      <c r="N1472" s="33">
        <v>6866320.674027768</v>
      </c>
      <c r="O1472" s="33">
        <v>2116785.8633952355</v>
      </c>
      <c r="P1472" s="33">
        <v>4749534.8106325325</v>
      </c>
      <c r="Q1472" s="33">
        <v>0</v>
      </c>
      <c r="U1472" s="32" t="s">
        <v>721</v>
      </c>
    </row>
    <row r="1473" spans="6:6" x14ac:dyDescent="0.2">
      <c r="F1473" s="33"/>
    </row>
    <row r="1474" spans="6:6" x14ac:dyDescent="0.2">
      <c r="F1474" s="33"/>
    </row>
    <row r="1475" spans="6:6" x14ac:dyDescent="0.2">
      <c r="F1475" s="33"/>
    </row>
    <row r="1476" spans="6:6" x14ac:dyDescent="0.2">
      <c r="F1476" s="33"/>
    </row>
    <row r="1477" spans="6:6" x14ac:dyDescent="0.2">
      <c r="F1477" s="33"/>
    </row>
    <row r="1478" spans="6:6" x14ac:dyDescent="0.2">
      <c r="F1478" s="33"/>
    </row>
    <row r="1479" spans="6:6" x14ac:dyDescent="0.2">
      <c r="F1479" s="33"/>
    </row>
    <row r="1480" spans="6:6" x14ac:dyDescent="0.2">
      <c r="F1480" s="33"/>
    </row>
    <row r="1481" spans="6:6" x14ac:dyDescent="0.2">
      <c r="F1481" s="33"/>
    </row>
    <row r="1482" spans="6:6" x14ac:dyDescent="0.2">
      <c r="F1482" s="33"/>
    </row>
    <row r="1483" spans="6:6" x14ac:dyDescent="0.2">
      <c r="F1483" s="33"/>
    </row>
    <row r="1484" spans="6:6" x14ac:dyDescent="0.2">
      <c r="F1484" s="33"/>
    </row>
    <row r="1491" spans="6:6" x14ac:dyDescent="0.2">
      <c r="F1491" s="32">
        <v>0.86346175527776192</v>
      </c>
    </row>
  </sheetData>
  <phoneticPr fontId="19" type="noConversion"/>
  <pageMargins left="0.75" right="0.75" top="1.5" bottom="1" header="0.75" footer="0.5"/>
  <pageSetup scale="60" orientation="landscape" r:id="rId1"/>
  <headerFooter alignWithMargins="0">
    <oddHeader>&amp;L&amp;"Arial,Bold"KENTUCKY UTILITIES COMPANY
&amp;"Arial,Regular"Electric Cost of Service Study
12 months Ended April 30, 2008
Jurisdictional Separation Study</oddHeader>
    <oddFooter>&amp;R&amp;"Arial,Regular"Seelye Exhibit 16
Page &amp;P of &amp;N</oddFooter>
  </headerFooter>
  <rowBreaks count="32" manualBreakCount="32">
    <brk id="65" max="16" man="1"/>
    <brk id="100" max="16" man="1"/>
    <brk id="147" max="16" man="1"/>
    <brk id="190" max="16" man="1"/>
    <brk id="233" max="16" man="1"/>
    <brk id="253" max="16" man="1"/>
    <brk id="296" max="16" man="1"/>
    <brk id="331" max="16" man="1"/>
    <brk id="378" max="16" man="1"/>
    <brk id="421" max="16" man="1"/>
    <brk id="464" max="16" man="1"/>
    <brk id="494" max="16" man="1"/>
    <brk id="547" max="16" man="1"/>
    <brk id="597" max="16" man="1"/>
    <brk id="631" max="16" man="1"/>
    <brk id="678" max="16" man="1"/>
    <brk id="724" max="16" man="1"/>
    <brk id="776" max="16" man="1"/>
    <brk id="820" max="16" man="1"/>
    <brk id="849" max="16" man="1"/>
    <brk id="910" max="16" man="1"/>
    <brk id="959" max="16" man="1"/>
    <brk id="1024" max="16" man="1"/>
    <brk id="1070" max="16" man="1"/>
    <brk id="1118" max="16" man="1"/>
    <brk id="1164" max="16" man="1"/>
    <brk id="1214" max="16" man="1"/>
    <brk id="1261" max="16" man="1"/>
    <brk id="1300" max="16" man="1"/>
    <brk id="1342" max="16" man="1"/>
    <brk id="1389" max="16" man="1"/>
    <brk id="1433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N59"/>
  <sheetViews>
    <sheetView view="pageBreakPreview" zoomScale="60" zoomScaleNormal="100" workbookViewId="0">
      <selection activeCell="D26" sqref="D26"/>
    </sheetView>
  </sheetViews>
  <sheetFormatPr defaultRowHeight="15" x14ac:dyDescent="0.25"/>
  <cols>
    <col min="1" max="1" width="4.5703125" customWidth="1"/>
    <col min="2" max="2" width="41.140625" bestFit="1" customWidth="1"/>
    <col min="3" max="3" width="14.42578125" customWidth="1"/>
    <col min="4" max="4" width="22" customWidth="1"/>
    <col min="5" max="5" width="22.5703125" bestFit="1" customWidth="1"/>
    <col min="6" max="6" width="20.5703125" bestFit="1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 x14ac:dyDescent="0.25">
      <c r="A1" s="514" t="s">
        <v>1775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</row>
    <row r="2" spans="1:14" ht="15.75" x14ac:dyDescent="0.25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</row>
    <row r="3" spans="1:14" ht="15.75" x14ac:dyDescent="0.25">
      <c r="A3" s="514" t="s">
        <v>2316</v>
      </c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</row>
    <row r="4" spans="1:14" ht="15.75" x14ac:dyDescent="0.25">
      <c r="A4" s="514" t="s">
        <v>2801</v>
      </c>
      <c r="B4" s="514"/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</row>
    <row r="5" spans="1:14" ht="15.75" x14ac:dyDescent="0.25">
      <c r="A5" s="262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</row>
    <row r="6" spans="1:14" ht="15.75" x14ac:dyDescent="0.25">
      <c r="A6" s="514" t="s">
        <v>2359</v>
      </c>
      <c r="B6" s="514"/>
      <c r="C6" s="514"/>
      <c r="D6" s="514"/>
      <c r="E6" s="514"/>
      <c r="F6" s="514"/>
      <c r="G6" s="514"/>
      <c r="H6" s="514"/>
      <c r="I6" s="514"/>
      <c r="J6" s="514"/>
      <c r="K6" s="514"/>
      <c r="L6" s="514"/>
      <c r="M6" s="514"/>
      <c r="N6" s="514"/>
    </row>
    <row r="8" spans="1:14" ht="15.75" thickBot="1" x14ac:dyDescent="0.3"/>
    <row r="9" spans="1:14" ht="15.75" thickBot="1" x14ac:dyDescent="0.3">
      <c r="A9" s="129"/>
      <c r="B9" s="130"/>
      <c r="C9" s="131"/>
      <c r="D9" s="129"/>
      <c r="E9" s="515" t="s">
        <v>2312</v>
      </c>
      <c r="F9" s="516"/>
      <c r="G9" s="132" t="s">
        <v>552</v>
      </c>
      <c r="H9" s="515" t="s">
        <v>132</v>
      </c>
      <c r="I9" s="516"/>
      <c r="J9" s="132" t="s">
        <v>2317</v>
      </c>
      <c r="K9" s="129"/>
      <c r="L9" s="263"/>
    </row>
    <row r="10" spans="1:14" x14ac:dyDescent="0.25">
      <c r="A10" s="133"/>
      <c r="B10" s="134"/>
      <c r="C10" s="135"/>
      <c r="D10" s="135"/>
      <c r="E10" s="131"/>
      <c r="F10" s="131"/>
      <c r="G10" s="131"/>
      <c r="H10" s="131"/>
      <c r="I10" s="131"/>
      <c r="J10" s="131"/>
      <c r="K10" s="133"/>
      <c r="L10" s="264"/>
    </row>
    <row r="11" spans="1:14" x14ac:dyDescent="0.25">
      <c r="A11" s="133"/>
      <c r="B11" s="134"/>
      <c r="C11" s="135"/>
      <c r="D11" s="135"/>
      <c r="E11" s="135"/>
      <c r="F11" s="135"/>
      <c r="G11" s="135"/>
      <c r="H11" s="135"/>
      <c r="I11" s="135"/>
      <c r="J11" s="135"/>
      <c r="K11" s="133"/>
      <c r="L11" s="264"/>
    </row>
    <row r="12" spans="1:14" ht="15.75" thickBot="1" x14ac:dyDescent="0.3">
      <c r="A12" s="136"/>
      <c r="B12" s="265" t="s">
        <v>119</v>
      </c>
      <c r="C12" s="266" t="s">
        <v>1424</v>
      </c>
      <c r="D12" s="266" t="s">
        <v>2318</v>
      </c>
      <c r="E12" s="137" t="s">
        <v>2313</v>
      </c>
      <c r="F12" s="137" t="s">
        <v>2314</v>
      </c>
      <c r="G12" s="137" t="s">
        <v>2313</v>
      </c>
      <c r="H12" s="137" t="s">
        <v>2313</v>
      </c>
      <c r="I12" s="137" t="s">
        <v>2315</v>
      </c>
      <c r="J12" s="137" t="s">
        <v>2315</v>
      </c>
      <c r="K12" s="162" t="s">
        <v>82</v>
      </c>
      <c r="L12" s="138" t="s">
        <v>2335</v>
      </c>
    </row>
    <row r="13" spans="1:14" x14ac:dyDescent="0.25">
      <c r="A13" s="120"/>
      <c r="B13" s="121"/>
      <c r="C13" s="139"/>
      <c r="D13" s="143"/>
      <c r="E13" s="144"/>
      <c r="F13" s="144"/>
      <c r="G13" s="144"/>
      <c r="H13" s="144"/>
      <c r="I13" s="144"/>
      <c r="J13" s="144"/>
      <c r="K13" s="121"/>
      <c r="L13" s="153"/>
    </row>
    <row r="14" spans="1:14" x14ac:dyDescent="0.25">
      <c r="A14" s="124" t="s">
        <v>1425</v>
      </c>
      <c r="B14" s="158" t="s">
        <v>210</v>
      </c>
      <c r="C14" s="140"/>
      <c r="D14" s="284">
        <f>'Allocation ProForma'!L174</f>
        <v>71596666.097154915</v>
      </c>
      <c r="E14" s="278">
        <f>'Allocation ProForma'!L123+'Allocation ProForma'!L124+'Allocation ProForma'!L125</f>
        <v>55068922.376771212</v>
      </c>
      <c r="F14" s="278">
        <f>'Allocation ProForma'!L126</f>
        <v>1688015.5391725097</v>
      </c>
      <c r="G14" s="278">
        <f>'Allocation ProForma'!L135</f>
        <v>7295277.4028799962</v>
      </c>
      <c r="H14" s="278">
        <f>'Allocation ProForma'!L145+'Allocation ProForma'!L147+'Allocation ProForma'!L152+'Allocation ProForma'!L141</f>
        <v>7304495.8385961633</v>
      </c>
      <c r="I14" s="278">
        <f>'Allocation ProForma'!L146+'Allocation ProForma'!L148+'Allocation ProForma'!L153+'Allocation ProForma'!L157+'Allocation ProForma'!L160+'Allocation ProForma'!L163</f>
        <v>204754.87524332781</v>
      </c>
      <c r="J14" s="278">
        <f>'Allocation ProForma'!L166+'Allocation ProForma'!L169</f>
        <v>35200.06449170383</v>
      </c>
      <c r="K14" s="285">
        <f>SUM(E14:J14)</f>
        <v>71596666.0971549</v>
      </c>
      <c r="L14" s="154" t="str">
        <f>IF(ABS(K14-D14)&lt;0.01,"ok","err")</f>
        <v>ok</v>
      </c>
    </row>
    <row r="15" spans="1:14" x14ac:dyDescent="0.25">
      <c r="A15" s="125" t="s">
        <v>1663</v>
      </c>
      <c r="B15" s="304" t="s">
        <v>2293</v>
      </c>
      <c r="C15" s="140"/>
      <c r="D15" s="284">
        <f>'Allocation ProForma'!L857+'Allocation ProForma'!L858+'Allocation ProForma'!L859</f>
        <v>-4473412.1427461356</v>
      </c>
      <c r="E15" s="279">
        <f t="shared" ref="E15:J15" si="0">(E14/$D$14)*$D$15</f>
        <v>-3440746.6084231809</v>
      </c>
      <c r="F15" s="279">
        <f t="shared" si="0"/>
        <v>-105468.44736920699</v>
      </c>
      <c r="G15" s="279">
        <f t="shared" si="0"/>
        <v>-455814.27596726734</v>
      </c>
      <c r="H15" s="279">
        <f t="shared" si="0"/>
        <v>-456390.25058337406</v>
      </c>
      <c r="I15" s="279">
        <f t="shared" si="0"/>
        <v>-12793.234589401789</v>
      </c>
      <c r="J15" s="279">
        <f t="shared" si="0"/>
        <v>-2199.3258137042258</v>
      </c>
      <c r="K15" s="285">
        <f>SUM(E15:J15)</f>
        <v>-4473412.1427461356</v>
      </c>
      <c r="L15" s="154" t="str">
        <f>IF(ABS(K15-D15)&lt;0.01,"ok","err")</f>
        <v>ok</v>
      </c>
    </row>
    <row r="16" spans="1:14" x14ac:dyDescent="0.25">
      <c r="A16" s="125" t="s">
        <v>2294</v>
      </c>
      <c r="B16" s="305" t="s">
        <v>2295</v>
      </c>
      <c r="C16" s="140"/>
      <c r="D16" s="286">
        <f>D14+D15</f>
        <v>67123253.95440878</v>
      </c>
      <c r="E16" s="276">
        <f t="shared" ref="E16:K16" si="1">E14+E15</f>
        <v>51628175.768348031</v>
      </c>
      <c r="F16" s="276">
        <f t="shared" si="1"/>
        <v>1582547.0918033028</v>
      </c>
      <c r="G16" s="276">
        <f t="shared" si="1"/>
        <v>6839463.1269127289</v>
      </c>
      <c r="H16" s="276">
        <f t="shared" si="1"/>
        <v>6848105.5880127894</v>
      </c>
      <c r="I16" s="276">
        <f t="shared" si="1"/>
        <v>191961.64065392604</v>
      </c>
      <c r="J16" s="276">
        <f t="shared" si="1"/>
        <v>33000.738677999601</v>
      </c>
      <c r="K16" s="285">
        <f t="shared" si="1"/>
        <v>67123253.954408765</v>
      </c>
      <c r="L16" s="154" t="str">
        <f>IF(ABS(K16-D16)&lt;0.01,"ok","err")</f>
        <v>ok</v>
      </c>
    </row>
    <row r="17" spans="1:12" x14ac:dyDescent="0.25">
      <c r="A17" s="125"/>
      <c r="B17" s="305"/>
      <c r="C17" s="141"/>
      <c r="D17" s="287"/>
      <c r="E17" s="186"/>
      <c r="F17" s="186"/>
      <c r="G17" s="186"/>
      <c r="H17" s="186"/>
      <c r="I17" s="186"/>
      <c r="J17" s="186"/>
      <c r="K17" s="285"/>
      <c r="L17" s="155"/>
    </row>
    <row r="18" spans="1:12" x14ac:dyDescent="0.25">
      <c r="A18" s="125" t="s">
        <v>2296</v>
      </c>
      <c r="B18" s="158" t="s">
        <v>534</v>
      </c>
      <c r="C18" s="140"/>
      <c r="D18" s="288">
        <f>'Allocation ProForma'!L1092</f>
        <v>7.6244934695595207E-2</v>
      </c>
      <c r="E18" s="280">
        <f t="shared" ref="E18:J18" si="2">D18</f>
        <v>7.6244934695595207E-2</v>
      </c>
      <c r="F18" s="280">
        <f t="shared" si="2"/>
        <v>7.6244934695595207E-2</v>
      </c>
      <c r="G18" s="280">
        <f t="shared" si="2"/>
        <v>7.6244934695595207E-2</v>
      </c>
      <c r="H18" s="280">
        <f t="shared" si="2"/>
        <v>7.6244934695595207E-2</v>
      </c>
      <c r="I18" s="280">
        <f t="shared" si="2"/>
        <v>7.6244934695595207E-2</v>
      </c>
      <c r="J18" s="280">
        <f t="shared" si="2"/>
        <v>7.6244934695595207E-2</v>
      </c>
      <c r="K18" s="285"/>
      <c r="L18" s="154"/>
    </row>
    <row r="19" spans="1:12" x14ac:dyDescent="0.25">
      <c r="A19" s="122"/>
      <c r="B19" s="158"/>
      <c r="C19" s="141"/>
      <c r="D19" s="287"/>
      <c r="E19" s="186"/>
      <c r="F19" s="186"/>
      <c r="G19" s="186"/>
      <c r="H19" s="186"/>
      <c r="I19" s="186"/>
      <c r="J19" s="186"/>
      <c r="K19" s="285"/>
      <c r="L19" s="155"/>
    </row>
    <row r="20" spans="1:12" x14ac:dyDescent="0.25">
      <c r="A20" s="125" t="s">
        <v>2297</v>
      </c>
      <c r="B20" s="158" t="s">
        <v>2298</v>
      </c>
      <c r="C20" s="140"/>
      <c r="D20" s="286">
        <f>D18*D16</f>
        <v>5117808.1143097505</v>
      </c>
      <c r="E20" s="276">
        <f t="shared" ref="E20:J20" si="3">E18*E16</f>
        <v>3936386.8899104064</v>
      </c>
      <c r="F20" s="276">
        <f t="shared" si="3"/>
        <v>120661.19966724692</v>
      </c>
      <c r="G20" s="276">
        <f t="shared" si="3"/>
        <v>521474.41946439241</v>
      </c>
      <c r="H20" s="276">
        <f t="shared" si="3"/>
        <v>522133.36334657576</v>
      </c>
      <c r="I20" s="276">
        <f t="shared" si="3"/>
        <v>14636.102755717904</v>
      </c>
      <c r="J20" s="276">
        <f t="shared" si="3"/>
        <v>2516.1391654104823</v>
      </c>
      <c r="K20" s="285">
        <f>SUM(E20:J20)</f>
        <v>5117808.1143097505</v>
      </c>
      <c r="L20" s="154" t="str">
        <f>IF(ABS(K20-D20)&lt;0.01,"ok","err")</f>
        <v>ok</v>
      </c>
    </row>
    <row r="21" spans="1:12" x14ac:dyDescent="0.25">
      <c r="A21" s="122"/>
      <c r="B21" s="158"/>
      <c r="C21" s="141"/>
      <c r="D21" s="287"/>
      <c r="E21" s="186"/>
      <c r="F21" s="186"/>
      <c r="G21" s="186"/>
      <c r="H21" s="186"/>
      <c r="I21" s="186"/>
      <c r="J21" s="186"/>
      <c r="K21" s="285"/>
      <c r="L21" s="155"/>
    </row>
    <row r="22" spans="1:12" x14ac:dyDescent="0.25">
      <c r="A22" s="125" t="s">
        <v>1664</v>
      </c>
      <c r="B22" s="158" t="s">
        <v>2299</v>
      </c>
      <c r="C22" s="140"/>
      <c r="D22" s="286">
        <f>'Allocation ProForma'!L706</f>
        <v>1218140.3158181203</v>
      </c>
      <c r="E22" s="276">
        <f t="shared" ref="E22:J22" si="4">(E14/$D$14)*$D$22</f>
        <v>936938.5217570808</v>
      </c>
      <c r="F22" s="276">
        <f t="shared" si="4"/>
        <v>28719.769984865339</v>
      </c>
      <c r="G22" s="276">
        <f t="shared" si="4"/>
        <v>124121.30346217574</v>
      </c>
      <c r="H22" s="276">
        <f t="shared" si="4"/>
        <v>124278.14523717407</v>
      </c>
      <c r="I22" s="276">
        <f t="shared" si="4"/>
        <v>3483.6841153434452</v>
      </c>
      <c r="J22" s="276">
        <f t="shared" si="4"/>
        <v>598.89126148076616</v>
      </c>
      <c r="K22" s="285">
        <f>SUM(E22:J22)</f>
        <v>1218140.3158181203</v>
      </c>
      <c r="L22" s="154" t="str">
        <f>IF(ABS(K22-D22)&lt;0.01,"ok","err")</f>
        <v>ok</v>
      </c>
    </row>
    <row r="23" spans="1:12" x14ac:dyDescent="0.25">
      <c r="A23" s="122"/>
      <c r="B23" s="158"/>
      <c r="C23" s="141"/>
      <c r="D23" s="287"/>
      <c r="E23" s="186"/>
      <c r="F23" s="186"/>
      <c r="G23" s="186"/>
      <c r="H23" s="186"/>
      <c r="I23" s="186"/>
      <c r="J23" s="186"/>
      <c r="K23" s="285"/>
      <c r="L23" s="155"/>
    </row>
    <row r="24" spans="1:12" x14ac:dyDescent="0.25">
      <c r="A24" s="125" t="s">
        <v>1665</v>
      </c>
      <c r="B24" s="158" t="s">
        <v>248</v>
      </c>
      <c r="C24" s="140"/>
      <c r="D24" s="286">
        <f>D20-D22</f>
        <v>3899667.7984916302</v>
      </c>
      <c r="E24" s="276">
        <f t="shared" ref="E24:J24" si="5">E20-E22</f>
        <v>2999448.3681533257</v>
      </c>
      <c r="F24" s="276">
        <f t="shared" si="5"/>
        <v>91941.429682381582</v>
      </c>
      <c r="G24" s="276">
        <f t="shared" si="5"/>
        <v>397353.1160022167</v>
      </c>
      <c r="H24" s="276">
        <f t="shared" si="5"/>
        <v>397855.2181094017</v>
      </c>
      <c r="I24" s="276">
        <f t="shared" si="5"/>
        <v>11152.418640374459</v>
      </c>
      <c r="J24" s="276">
        <f t="shared" si="5"/>
        <v>1917.2479039297161</v>
      </c>
      <c r="K24" s="285">
        <f>SUM(E24:J24)</f>
        <v>3899667.7984916298</v>
      </c>
      <c r="L24" s="154" t="str">
        <f>IF(ABS(K24-D24)&lt;0.01,"ok","err")</f>
        <v>ok</v>
      </c>
    </row>
    <row r="25" spans="1:12" x14ac:dyDescent="0.25">
      <c r="A25" s="122"/>
      <c r="B25" s="158"/>
      <c r="C25" s="141"/>
      <c r="D25" s="287"/>
      <c r="E25" s="186"/>
      <c r="F25" s="186"/>
      <c r="G25" s="186"/>
      <c r="H25" s="186"/>
      <c r="I25" s="186"/>
      <c r="J25" s="186"/>
      <c r="K25" s="285"/>
      <c r="L25" s="155"/>
    </row>
    <row r="26" spans="1:12" x14ac:dyDescent="0.25">
      <c r="A26" s="125" t="s">
        <v>1666</v>
      </c>
      <c r="B26" s="158" t="s">
        <v>660</v>
      </c>
      <c r="C26" s="141"/>
      <c r="D26" s="286">
        <f>'Allocation ProForma'!L820+'Allocation ProForma'!L1084</f>
        <v>1306557.9878800218</v>
      </c>
      <c r="E26" s="276">
        <f t="shared" ref="E26:J26" si="6">$D$26*(E24/$K$24)</f>
        <v>1004945.4023135648</v>
      </c>
      <c r="F26" s="276">
        <f t="shared" si="6"/>
        <v>30804.369904300409</v>
      </c>
      <c r="G26" s="276">
        <f t="shared" si="6"/>
        <v>133130.54202271363</v>
      </c>
      <c r="H26" s="276">
        <f t="shared" si="6"/>
        <v>133298.76802368936</v>
      </c>
      <c r="I26" s="276">
        <f t="shared" si="6"/>
        <v>3736.5443447258235</v>
      </c>
      <c r="J26" s="276">
        <f t="shared" si="6"/>
        <v>642.36127102788555</v>
      </c>
      <c r="K26" s="285">
        <f>SUM(E26:J26)</f>
        <v>1306557.9878800218</v>
      </c>
      <c r="L26" s="154" t="str">
        <f>IF(ABS(K26-D26)&lt;0.01,"ok","err")</f>
        <v>ok</v>
      </c>
    </row>
    <row r="27" spans="1:12" x14ac:dyDescent="0.25">
      <c r="A27" s="122"/>
      <c r="B27" s="158"/>
      <c r="C27" s="141"/>
      <c r="D27" s="287"/>
      <c r="E27" s="186"/>
      <c r="F27" s="186"/>
      <c r="G27" s="186"/>
      <c r="H27" s="186"/>
      <c r="I27" s="186"/>
      <c r="J27" s="186"/>
      <c r="K27" s="285"/>
      <c r="L27" s="155"/>
    </row>
    <row r="28" spans="1:12" x14ac:dyDescent="0.25">
      <c r="A28" s="125" t="s">
        <v>1667</v>
      </c>
      <c r="B28" s="158" t="s">
        <v>945</v>
      </c>
      <c r="C28" s="140"/>
      <c r="D28" s="286">
        <f>'Allocation ProForma'!L672</f>
        <v>19447461.670868166</v>
      </c>
      <c r="E28" s="276">
        <f>'Allocation ProForma'!L180+'Allocation ProForma'!L181+'Allocation ProForma'!L182</f>
        <v>2156486.5924628749</v>
      </c>
      <c r="F28" s="276">
        <f>'Allocation ProForma'!L183</f>
        <v>15608523.916467898</v>
      </c>
      <c r="G28" s="276">
        <f>'Allocation ProForma'!L192</f>
        <v>707796.9455196613</v>
      </c>
      <c r="H28" s="276">
        <f>'Allocation ProForma'!L198+'Allocation ProForma'!L202+'Allocation ProForma'!L204+'Allocation ProForma'!L209</f>
        <v>660849.84898363496</v>
      </c>
      <c r="I28" s="276">
        <f>'Allocation ProForma'!L203+'Allocation ProForma'!L205+'Allocation ProForma'!L210+'Allocation ProForma'!L214+'Allocation ProForma'!L217</f>
        <v>32387.71037728203</v>
      </c>
      <c r="J28" s="276">
        <f>'Allocation ProForma'!L223+'Allocation ProForma'!L226</f>
        <v>281416.65705681551</v>
      </c>
      <c r="K28" s="285">
        <f>SUM(E28:J28)</f>
        <v>19447461.670868166</v>
      </c>
      <c r="L28" s="154" t="str">
        <f>IF(ABS(K28-D28)&lt;0.01,"ok","err")</f>
        <v>ok</v>
      </c>
    </row>
    <row r="29" spans="1:12" x14ac:dyDescent="0.25">
      <c r="A29" s="125" t="s">
        <v>2300</v>
      </c>
      <c r="B29" s="158" t="s">
        <v>1040</v>
      </c>
      <c r="C29" s="140"/>
      <c r="D29" s="286">
        <f>'Allocation ProForma'!L673</f>
        <v>3471937.4855865487</v>
      </c>
      <c r="E29" s="276">
        <f>'Allocation ProForma'!L300</f>
        <v>2889725.1065020231</v>
      </c>
      <c r="F29" s="276">
        <v>0</v>
      </c>
      <c r="G29" s="276">
        <f>'Allocation ProForma'!L306</f>
        <v>249537.92893380951</v>
      </c>
      <c r="H29" s="276">
        <f>'Allocation ProForma'!L312+'Allocation ProForma'!L316+'Allocation ProForma'!L318+'Allocation ProForma'!L323</f>
        <v>323694.31779150234</v>
      </c>
      <c r="I29" s="276">
        <f>'Allocation ProForma'!L317+'Allocation ProForma'!L319+'Allocation ProForma'!L324+'Allocation ProForma'!L328+'Allocation ProForma'!L331</f>
        <v>8980.1323592141107</v>
      </c>
      <c r="J29" s="276">
        <v>0</v>
      </c>
      <c r="K29" s="285">
        <f>SUM(E29:J29)</f>
        <v>3471937.4855865492</v>
      </c>
      <c r="L29" s="154" t="str">
        <f>IF(ABS(K29-D29)&lt;0.01,"ok","err")</f>
        <v>ok</v>
      </c>
    </row>
    <row r="30" spans="1:12" x14ac:dyDescent="0.25">
      <c r="A30" s="125" t="s">
        <v>2301</v>
      </c>
      <c r="B30" s="158" t="s">
        <v>521</v>
      </c>
      <c r="C30" s="140"/>
      <c r="D30" s="286">
        <f>'Allocation ProForma'!L675+'Allocation ProForma'!L676+'Allocation ProForma'!L677+'Allocation ProForma'!L674</f>
        <v>462509.45167451748</v>
      </c>
      <c r="E30" s="276">
        <f>'Allocation ProForma'!L414+'Allocation ProForma'!L471+'Allocation ProForma'!L357</f>
        <v>344483.23269510962</v>
      </c>
      <c r="F30" s="276">
        <f>'Allocation ProForma'!L529</f>
        <v>-19.570860630214327</v>
      </c>
      <c r="G30" s="276">
        <f>'Allocation ProForma'!L420+'Allocation ProForma'!L477+'Allocation ProForma'!L363</f>
        <v>60897.18024147048</v>
      </c>
      <c r="H30" s="276">
        <f>'Allocation ProForma'!L426+'Allocation ProForma'!L430+'Allocation ProForma'!L432+'Allocation ProForma'!L437+'Allocation ProForma'!L483+'Allocation ProForma'!L487+'Allocation ProForma'!L489+'Allocation ProForma'!L494+'Allocation ProForma'!L369+'Allocation ProForma'!L373+'Allocation ProForma'!L375+'Allocation ProForma'!L380</f>
        <v>55605.954074202382</v>
      </c>
      <c r="I30" s="276">
        <f>'Allocation ProForma'!L431+'Allocation ProForma'!L433+'Allocation ProForma'!L438+'Allocation ProForma'!L442+'Allocation ProForma'!L445+'Allocation ProForma'!L488+'Allocation ProForma'!L490+'Allocation ProForma'!L495+'Allocation ProForma'!L499+'Allocation ProForma'!L502+'Allocation ProForma'!L374+'Allocation ProForma'!L376+'Allocation ProForma'!L381+'Allocation ProForma'!L385+'Allocation ProForma'!L388</f>
        <v>1542.6555243653013</v>
      </c>
      <c r="J30" s="276">
        <v>0</v>
      </c>
      <c r="K30" s="285">
        <f>SUM(E30:J30)</f>
        <v>462509.45167451759</v>
      </c>
      <c r="L30" s="154" t="str">
        <f>IF(ABS(K30-D30)&lt;0.01,"ok","err")</f>
        <v>ok</v>
      </c>
    </row>
    <row r="31" spans="1:12" x14ac:dyDescent="0.25">
      <c r="A31" s="125" t="s">
        <v>2302</v>
      </c>
      <c r="B31" s="158" t="s">
        <v>2338</v>
      </c>
      <c r="C31" s="140"/>
      <c r="D31" s="286">
        <f>'Allocation ProForma'!L680</f>
        <v>123237.69082680426</v>
      </c>
      <c r="E31" s="276">
        <f>D31</f>
        <v>123237.69082680426</v>
      </c>
      <c r="F31" s="276"/>
      <c r="G31" s="276"/>
      <c r="H31" s="276"/>
      <c r="I31" s="276"/>
      <c r="J31" s="276"/>
      <c r="K31" s="285">
        <f>SUM(E31:J31)</f>
        <v>123237.69082680426</v>
      </c>
      <c r="L31" s="154" t="str">
        <f>IF(ABS(K31-D31)&lt;0.01,"ok","err")</f>
        <v>ok</v>
      </c>
    </row>
    <row r="32" spans="1:12" x14ac:dyDescent="0.25">
      <c r="A32" s="125" t="s">
        <v>2303</v>
      </c>
      <c r="B32" s="158" t="s">
        <v>2320</v>
      </c>
      <c r="C32" s="140"/>
      <c r="D32" s="286">
        <f>'Allocation ProForma'!L826</f>
        <v>-138668.13024556555</v>
      </c>
      <c r="E32" s="276">
        <f>D32</f>
        <v>-138668.13024556555</v>
      </c>
      <c r="F32" s="276">
        <v>0</v>
      </c>
      <c r="G32" s="276">
        <v>0</v>
      </c>
      <c r="H32" s="276">
        <v>0</v>
      </c>
      <c r="I32" s="276">
        <v>0</v>
      </c>
      <c r="J32" s="276">
        <v>0</v>
      </c>
      <c r="K32" s="285">
        <f>SUM(E32:J32)</f>
        <v>-138668.13024556555</v>
      </c>
      <c r="L32" s="154" t="str">
        <f t="shared" ref="L32:L38" si="7">IF(ABS(K32-D32)&lt;0.01,"ok","err")</f>
        <v>ok</v>
      </c>
    </row>
    <row r="33" spans="1:12" x14ac:dyDescent="0.25">
      <c r="A33" s="125" t="s">
        <v>2305</v>
      </c>
      <c r="B33" s="158" t="s">
        <v>2319</v>
      </c>
      <c r="C33" s="140"/>
      <c r="D33" s="286">
        <f>'Allocation ProForma'!L825+'Allocation ProForma'!L828+'Allocation ProForma'!L829</f>
        <v>-387237.17467299692</v>
      </c>
      <c r="E33" s="276">
        <v>0</v>
      </c>
      <c r="F33" s="276">
        <f>D33</f>
        <v>-387237.17467299692</v>
      </c>
      <c r="G33" s="276">
        <v>0</v>
      </c>
      <c r="H33" s="276">
        <v>0</v>
      </c>
      <c r="I33" s="276">
        <v>0</v>
      </c>
      <c r="J33" s="276">
        <v>0</v>
      </c>
      <c r="K33" s="285">
        <f t="shared" ref="K33:K38" si="8">SUM(E33:J33)</f>
        <v>-387237.17467299692</v>
      </c>
      <c r="L33" s="154" t="str">
        <f t="shared" si="7"/>
        <v>ok</v>
      </c>
    </row>
    <row r="34" spans="1:12" x14ac:dyDescent="0.25">
      <c r="A34" s="125" t="s">
        <v>2306</v>
      </c>
      <c r="B34" s="158" t="s">
        <v>2323</v>
      </c>
      <c r="C34" s="140"/>
      <c r="D34" s="286">
        <f>'Allocation ProForma'!L839+'Allocation ProForma'!L842</f>
        <v>-115116.17091059877</v>
      </c>
      <c r="E34" s="276">
        <v>0</v>
      </c>
      <c r="F34" s="276">
        <v>0</v>
      </c>
      <c r="G34" s="276">
        <f>D34</f>
        <v>-115116.17091059877</v>
      </c>
      <c r="H34" s="276">
        <v>0</v>
      </c>
      <c r="I34" s="276">
        <v>0</v>
      </c>
      <c r="J34" s="276">
        <v>0</v>
      </c>
      <c r="K34" s="285">
        <f t="shared" si="8"/>
        <v>-115116.17091059877</v>
      </c>
      <c r="L34" s="154" t="str">
        <f t="shared" si="7"/>
        <v>ok</v>
      </c>
    </row>
    <row r="35" spans="1:12" x14ac:dyDescent="0.25">
      <c r="A35" s="125" t="s">
        <v>2308</v>
      </c>
      <c r="B35" s="158" t="s">
        <v>2321</v>
      </c>
      <c r="C35" s="140"/>
      <c r="D35" s="286">
        <f>'Allocation ProForma'!L830+'Allocation ProForma'!L837</f>
        <v>-69099.173964848917</v>
      </c>
      <c r="E35" s="276">
        <v>0</v>
      </c>
      <c r="F35" s="276">
        <v>0</v>
      </c>
      <c r="G35" s="276">
        <v>0</v>
      </c>
      <c r="H35" s="276">
        <f>(H14/($I$14+$H$14)*$D$35)</f>
        <v>-67215.045536627149</v>
      </c>
      <c r="I35" s="276">
        <f>(I14/($I$14+$H$14)*$D$35)</f>
        <v>-1884.1284282217755</v>
      </c>
      <c r="J35" s="276">
        <v>0</v>
      </c>
      <c r="K35" s="285">
        <f t="shared" si="8"/>
        <v>-69099.173964848931</v>
      </c>
      <c r="L35" s="154" t="str">
        <f t="shared" si="7"/>
        <v>ok</v>
      </c>
    </row>
    <row r="36" spans="1:12" x14ac:dyDescent="0.25">
      <c r="A36" s="159" t="s">
        <v>2310</v>
      </c>
      <c r="B36" s="158" t="s">
        <v>2322</v>
      </c>
      <c r="C36" s="140"/>
      <c r="D36" s="286">
        <f>'Allocation ProForma'!L831+'Allocation ProForma'!L832+'Allocation ProForma'!L833+'Allocation ProForma'!L834+'Allocation ProForma'!L835+'Allocation ProForma'!L836+'Allocation ProForma'!L838+'Allocation ProForma'!L840+'Allocation ProForma'!L841+'Allocation ProForma'!L843+'Allocation ProForma'!L844+'Allocation ProForma'!L845+'Allocation ProForma'!L846+'Allocation ProForma'!L847</f>
        <v>1027998.8405260256</v>
      </c>
      <c r="E36" s="276">
        <f t="shared" ref="E36:J36" si="9">(E14/($D$14)*$D$36)</f>
        <v>790690.28543199296</v>
      </c>
      <c r="F36" s="276">
        <f t="shared" si="9"/>
        <v>24236.855033229123</v>
      </c>
      <c r="G36" s="276">
        <f t="shared" si="9"/>
        <v>104747.01016524518</v>
      </c>
      <c r="H36" s="276">
        <f t="shared" si="9"/>
        <v>104879.37025607434</v>
      </c>
      <c r="I36" s="276">
        <f t="shared" si="9"/>
        <v>2939.9102753830084</v>
      </c>
      <c r="J36" s="276">
        <f t="shared" si="9"/>
        <v>505.40936410097447</v>
      </c>
      <c r="K36" s="285">
        <f t="shared" si="8"/>
        <v>1027998.8405260256</v>
      </c>
      <c r="L36" s="154" t="str">
        <f t="shared" si="7"/>
        <v>ok</v>
      </c>
    </row>
    <row r="37" spans="1:12" x14ac:dyDescent="0.25">
      <c r="A37" s="125"/>
      <c r="B37" s="158"/>
      <c r="D37" s="286"/>
      <c r="E37" s="276"/>
      <c r="F37" s="276"/>
      <c r="G37" s="276"/>
      <c r="H37" s="276"/>
      <c r="I37" s="276"/>
      <c r="J37" s="276"/>
      <c r="K37" s="285"/>
      <c r="L37" s="154"/>
    </row>
    <row r="38" spans="1:12" x14ac:dyDescent="0.25">
      <c r="A38" s="125" t="s">
        <v>2324</v>
      </c>
      <c r="B38" s="158" t="s">
        <v>2329</v>
      </c>
      <c r="C38" s="140"/>
      <c r="D38" s="286">
        <f>'Allocation ProForma'!L848</f>
        <v>317878.19073201547</v>
      </c>
      <c r="E38" s="276">
        <f>SUM(E32:E36)</f>
        <v>652022.15518642741</v>
      </c>
      <c r="F38" s="276">
        <f>SUM(F33:F36)</f>
        <v>-363000.31963976781</v>
      </c>
      <c r="G38" s="276">
        <f>SUM(G32:G36)</f>
        <v>-10369.160745353583</v>
      </c>
      <c r="H38" s="276">
        <f>SUM(H32:H36)</f>
        <v>37664.324719447191</v>
      </c>
      <c r="I38" s="276">
        <f>SUM(I32:I36)</f>
        <v>1055.7818471612329</v>
      </c>
      <c r="J38" s="276">
        <f>SUM(J32:J36)</f>
        <v>505.40936410097447</v>
      </c>
      <c r="K38" s="285">
        <f t="shared" si="8"/>
        <v>317878.19073201536</v>
      </c>
      <c r="L38" s="154" t="str">
        <f t="shared" si="7"/>
        <v>ok</v>
      </c>
    </row>
    <row r="39" spans="1:12" x14ac:dyDescent="0.25">
      <c r="A39" s="122"/>
      <c r="B39" s="158"/>
      <c r="C39" s="141"/>
      <c r="D39" s="289"/>
      <c r="E39" s="186"/>
      <c r="F39" s="186"/>
      <c r="G39" s="186"/>
      <c r="H39" s="186"/>
      <c r="I39" s="186"/>
      <c r="J39" s="186"/>
      <c r="K39" s="158"/>
      <c r="L39" s="155"/>
    </row>
    <row r="40" spans="1:12" x14ac:dyDescent="0.25">
      <c r="A40" s="125" t="s">
        <v>2325</v>
      </c>
      <c r="B40" s="158" t="s">
        <v>2304</v>
      </c>
      <c r="C40" s="157">
        <f>'Allocation ProForma'!L1028</f>
        <v>30131074.751430448</v>
      </c>
      <c r="D40" s="286">
        <f>SUM(D28:D31)+D22+D26+D38+D24</f>
        <v>30247390.591877826</v>
      </c>
      <c r="E40" s="276">
        <f t="shared" ref="E40:J40" si="10">SUM(E28:E31)+E22+E26+E38+E24</f>
        <v>11107287.06989721</v>
      </c>
      <c r="F40" s="276">
        <f t="shared" si="10"/>
        <v>15396969.595539046</v>
      </c>
      <c r="G40" s="276">
        <f t="shared" si="10"/>
        <v>1662467.8554366936</v>
      </c>
      <c r="H40" s="276">
        <f t="shared" si="10"/>
        <v>1733246.5769390517</v>
      </c>
      <c r="I40" s="276">
        <f t="shared" si="10"/>
        <v>62338.927208466397</v>
      </c>
      <c r="J40" s="276">
        <f t="shared" si="10"/>
        <v>285080.56685735483</v>
      </c>
      <c r="K40" s="285">
        <f>SUM(E40:J40)</f>
        <v>30247390.591877822</v>
      </c>
      <c r="L40" s="154" t="str">
        <f>IF(ABS(K40-D40)&lt;0.01,"ok","err")</f>
        <v>ok</v>
      </c>
    </row>
    <row r="41" spans="1:12" x14ac:dyDescent="0.25">
      <c r="A41" s="122"/>
      <c r="B41" s="158"/>
      <c r="C41" s="141"/>
      <c r="D41" s="290"/>
      <c r="E41" s="186"/>
      <c r="F41" s="186"/>
      <c r="G41" s="186"/>
      <c r="H41" s="186"/>
      <c r="I41" s="186"/>
      <c r="J41" s="186"/>
      <c r="K41" s="158"/>
      <c r="L41" s="155"/>
    </row>
    <row r="42" spans="1:12" x14ac:dyDescent="0.25">
      <c r="A42" s="125" t="s">
        <v>2326</v>
      </c>
      <c r="B42" s="158" t="s">
        <v>2347</v>
      </c>
      <c r="C42" s="140"/>
      <c r="D42" s="286">
        <f>-'Allocation ProForma'!L661</f>
        <v>-249552.92749936588</v>
      </c>
      <c r="E42" s="276"/>
      <c r="F42" s="276">
        <v>0</v>
      </c>
      <c r="G42" s="276">
        <f>D42</f>
        <v>-249552.92749936588</v>
      </c>
      <c r="H42" s="276">
        <v>0</v>
      </c>
      <c r="I42" s="276">
        <v>0</v>
      </c>
      <c r="J42" s="276">
        <v>0</v>
      </c>
      <c r="K42" s="285">
        <f>SUM(E42:J42)</f>
        <v>-249552.92749936588</v>
      </c>
      <c r="L42" s="154" t="str">
        <f>IF(ABS(K42-D42)&lt;0.01,"ok","err")</f>
        <v>ok</v>
      </c>
    </row>
    <row r="43" spans="1:12" x14ac:dyDescent="0.25">
      <c r="A43" s="125" t="s">
        <v>2327</v>
      </c>
      <c r="B43" s="158" t="s">
        <v>2330</v>
      </c>
      <c r="C43" s="140"/>
      <c r="D43" s="286">
        <f>-('Allocation ProForma'!L654+'Allocation ProForma'!L655+'Allocation ProForma'!L656)</f>
        <v>-719947.93845050118</v>
      </c>
      <c r="E43" s="276">
        <v>0</v>
      </c>
      <c r="F43" s="276">
        <f>D43</f>
        <v>-719947.93845050118</v>
      </c>
      <c r="G43" s="276">
        <v>0</v>
      </c>
      <c r="H43" s="276">
        <v>0</v>
      </c>
      <c r="I43" s="276">
        <v>0</v>
      </c>
      <c r="J43" s="276">
        <v>0</v>
      </c>
      <c r="K43" s="285">
        <f>SUM(E43:J43)</f>
        <v>-719947.93845050118</v>
      </c>
      <c r="L43" s="154" t="str">
        <f>IF(ABS(K43-D43)&lt;0.01,"ok","err")</f>
        <v>ok</v>
      </c>
    </row>
    <row r="44" spans="1:12" x14ac:dyDescent="0.25">
      <c r="A44" s="125" t="s">
        <v>2328</v>
      </c>
      <c r="B44" s="158" t="s">
        <v>2331</v>
      </c>
      <c r="C44" s="140"/>
      <c r="D44" s="286">
        <f>-('Allocation ProForma'!L652+'Allocation ProForma'!L653+'Allocation ProForma'!L657+'Allocation ProForma'!L658+'Allocation ProForma'!L659+'Allocation ProForma'!L660+'Allocation ProForma'!L662+'Allocation ProForma'!L663+'Allocation ProForma'!L664+'Allocation ProForma'!L665+'Allocation ProForma'!L666)</f>
        <v>-123503.96781714824</v>
      </c>
      <c r="E44" s="276">
        <f t="shared" ref="E44:J44" si="11">(E14/($D$14)*$D$44)</f>
        <v>-94993.674813247359</v>
      </c>
      <c r="F44" s="276">
        <f t="shared" si="11"/>
        <v>-2911.8201752845603</v>
      </c>
      <c r="G44" s="276">
        <f t="shared" si="11"/>
        <v>-12584.324867303609</v>
      </c>
      <c r="H44" s="276">
        <f t="shared" si="11"/>
        <v>-12600.226632708007</v>
      </c>
      <c r="I44" s="276">
        <f t="shared" si="11"/>
        <v>-353.20135560699032</v>
      </c>
      <c r="J44" s="276">
        <f t="shared" si="11"/>
        <v>-60.719972997704794</v>
      </c>
      <c r="K44" s="285">
        <f>SUM(E44:J44)</f>
        <v>-123503.96781714822</v>
      </c>
      <c r="L44" s="154" t="str">
        <f>IF(ABS(K44-D44)&lt;0.01,"ok","err")</f>
        <v>ok</v>
      </c>
    </row>
    <row r="45" spans="1:12" x14ac:dyDescent="0.25">
      <c r="A45" s="125" t="s">
        <v>2332</v>
      </c>
      <c r="B45" s="158" t="s">
        <v>2334</v>
      </c>
      <c r="C45" s="140"/>
      <c r="D45" s="286">
        <f>SUM(D42:D44)</f>
        <v>-1093004.8337670153</v>
      </c>
      <c r="E45" s="276">
        <f t="shared" ref="E45:J45" si="12">SUM(E42:E44)</f>
        <v>-94993.674813247359</v>
      </c>
      <c r="F45" s="276">
        <f t="shared" si="12"/>
        <v>-722859.7586257857</v>
      </c>
      <c r="G45" s="276">
        <f t="shared" si="12"/>
        <v>-262137.25236666948</v>
      </c>
      <c r="H45" s="276">
        <f t="shared" si="12"/>
        <v>-12600.226632708007</v>
      </c>
      <c r="I45" s="276">
        <f t="shared" si="12"/>
        <v>-353.20135560699032</v>
      </c>
      <c r="J45" s="276">
        <f t="shared" si="12"/>
        <v>-60.719972997704794</v>
      </c>
      <c r="K45" s="285">
        <f>SUM(E45:J45)</f>
        <v>-1093004.8337670153</v>
      </c>
      <c r="L45" s="154" t="str">
        <f>IF(ABS(K45-D45)&lt;0.01,"ok","err")</f>
        <v>ok</v>
      </c>
    </row>
    <row r="46" spans="1:12" x14ac:dyDescent="0.25">
      <c r="A46" s="122"/>
      <c r="B46" s="158"/>
      <c r="D46" s="287"/>
      <c r="E46" s="186"/>
      <c r="F46" s="186"/>
      <c r="G46" s="186"/>
      <c r="H46" s="186"/>
      <c r="I46" s="186"/>
      <c r="J46" s="186"/>
      <c r="K46" s="158"/>
      <c r="L46" s="155"/>
    </row>
    <row r="47" spans="1:12" x14ac:dyDescent="0.25">
      <c r="A47" s="125" t="s">
        <v>2333</v>
      </c>
      <c r="B47" s="158" t="s">
        <v>2307</v>
      </c>
      <c r="C47" s="39">
        <f>'Allocation ProForma'!L1028-SUM('Allocation ProForma'!L652:L666)</f>
        <v>29038069.917663433</v>
      </c>
      <c r="D47" s="286">
        <f>D40+D45</f>
        <v>29154385.75811081</v>
      </c>
      <c r="E47" s="276">
        <f t="shared" ref="E47:J47" si="13">E40+E45</f>
        <v>11012293.395083962</v>
      </c>
      <c r="F47" s="276">
        <f t="shared" si="13"/>
        <v>14674109.836913262</v>
      </c>
      <c r="G47" s="276">
        <f t="shared" si="13"/>
        <v>1400330.6030700242</v>
      </c>
      <c r="H47" s="276">
        <f t="shared" si="13"/>
        <v>1720646.3503063438</v>
      </c>
      <c r="I47" s="276">
        <f t="shared" si="13"/>
        <v>61985.72585285941</v>
      </c>
      <c r="J47" s="276">
        <f t="shared" si="13"/>
        <v>285019.8468843571</v>
      </c>
      <c r="K47" s="285">
        <f>SUM(E47:J47)</f>
        <v>29154385.758110806</v>
      </c>
      <c r="L47" s="154" t="str">
        <f>IF(ABS(K47-D47)&lt;0.01,"ok","err")</f>
        <v>ok</v>
      </c>
    </row>
    <row r="48" spans="1:12" x14ac:dyDescent="0.25">
      <c r="A48" s="122"/>
      <c r="B48" s="158"/>
      <c r="C48" s="141"/>
      <c r="D48" s="289"/>
      <c r="E48" s="186"/>
      <c r="F48" s="186"/>
      <c r="G48" s="186"/>
      <c r="H48" s="186"/>
      <c r="I48" s="186"/>
      <c r="J48" s="186"/>
      <c r="K48" s="158"/>
      <c r="L48" s="155"/>
    </row>
    <row r="49" spans="1:12" x14ac:dyDescent="0.25">
      <c r="A49" s="125" t="s">
        <v>2339</v>
      </c>
      <c r="B49" s="158" t="s">
        <v>2309</v>
      </c>
      <c r="C49" s="140"/>
      <c r="D49" s="291"/>
      <c r="E49" s="281">
        <v>946676</v>
      </c>
      <c r="F49" s="281">
        <f>'Allocation ProForma'!$L$1121</f>
        <v>453402612</v>
      </c>
      <c r="G49" s="281">
        <v>831431</v>
      </c>
      <c r="H49" s="281">
        <v>831431</v>
      </c>
      <c r="I49" s="281">
        <f>'Allocation ProForma'!$L$1136*12</f>
        <v>1644</v>
      </c>
      <c r="J49" s="281">
        <f>'Allocation ProForma'!$L$1136*12</f>
        <v>1644</v>
      </c>
      <c r="K49" s="158"/>
      <c r="L49" s="155"/>
    </row>
    <row r="50" spans="1:12" ht="15.75" thickBot="1" x14ac:dyDescent="0.3">
      <c r="A50" s="122"/>
      <c r="B50" s="158"/>
      <c r="C50" s="141"/>
      <c r="D50" s="287"/>
      <c r="E50" s="186"/>
      <c r="F50" s="186"/>
      <c r="G50" s="186"/>
      <c r="H50" s="186"/>
      <c r="I50" s="186"/>
      <c r="J50" s="186"/>
      <c r="K50" s="158"/>
      <c r="L50" s="155"/>
    </row>
    <row r="51" spans="1:12" ht="15.75" thickBot="1" x14ac:dyDescent="0.3">
      <c r="A51" s="127" t="s">
        <v>2340</v>
      </c>
      <c r="B51" s="306" t="s">
        <v>2311</v>
      </c>
      <c r="C51" s="142"/>
      <c r="D51" s="292"/>
      <c r="E51" s="297">
        <f t="shared" ref="E51:J51" si="14">E47/E49</f>
        <v>11.632589603078522</v>
      </c>
      <c r="F51" s="309">
        <f t="shared" si="14"/>
        <v>3.2364413985584324E-2</v>
      </c>
      <c r="G51" s="297">
        <f t="shared" si="14"/>
        <v>1.6842415102035215</v>
      </c>
      <c r="H51" s="297">
        <f t="shared" si="14"/>
        <v>2.0694998746815356</v>
      </c>
      <c r="I51" s="297">
        <f t="shared" si="14"/>
        <v>37.704212805875557</v>
      </c>
      <c r="J51" s="297">
        <f t="shared" si="14"/>
        <v>173.36973654766248</v>
      </c>
      <c r="K51" s="310">
        <f>I51+J51</f>
        <v>211.07394935353804</v>
      </c>
      <c r="L51" s="156"/>
    </row>
    <row r="53" spans="1:12" x14ac:dyDescent="0.25">
      <c r="J53" s="163" t="s">
        <v>2349</v>
      </c>
      <c r="K53" s="267">
        <f>I51+J51</f>
        <v>211.07394935353804</v>
      </c>
    </row>
    <row r="54" spans="1:12" x14ac:dyDescent="0.25">
      <c r="J54" s="163" t="s">
        <v>2348</v>
      </c>
      <c r="K54" s="312">
        <f>F51</f>
        <v>3.2364413985584324E-2</v>
      </c>
    </row>
    <row r="55" spans="1:12" x14ac:dyDescent="0.25">
      <c r="J55" s="163" t="s">
        <v>2802</v>
      </c>
      <c r="K55" s="267">
        <f>E51+G51+H51</f>
        <v>15.386330987963579</v>
      </c>
    </row>
    <row r="57" spans="1:12" x14ac:dyDescent="0.25">
      <c r="J57" s="163" t="s">
        <v>1754</v>
      </c>
      <c r="K57" s="268">
        <f>K53</f>
        <v>211.07394935353804</v>
      </c>
    </row>
    <row r="58" spans="1:12" ht="15.75" thickBot="1" x14ac:dyDescent="0.3">
      <c r="J58" s="163" t="s">
        <v>2800</v>
      </c>
      <c r="K58" s="269">
        <f>((I47+J47)*D18)/J49</f>
        <v>16.093319484401874</v>
      </c>
    </row>
    <row r="59" spans="1:12" ht="15.75" thickBot="1" x14ac:dyDescent="0.3">
      <c r="K59" s="270">
        <f>SUM(K57:K58)</f>
        <v>227.1672688379399</v>
      </c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0.75" bottom="0.75" header="0.3" footer="0.3"/>
  <pageSetup scale="4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N59"/>
  <sheetViews>
    <sheetView view="pageBreakPreview" zoomScale="60" zoomScaleNormal="100" workbookViewId="0">
      <selection activeCell="H16" sqref="H16"/>
    </sheetView>
  </sheetViews>
  <sheetFormatPr defaultRowHeight="15" x14ac:dyDescent="0.25"/>
  <cols>
    <col min="1" max="1" width="4.5703125" customWidth="1"/>
    <col min="2" max="2" width="41.140625" bestFit="1" customWidth="1"/>
    <col min="3" max="3" width="15.140625" bestFit="1" customWidth="1"/>
    <col min="4" max="4" width="22" customWidth="1"/>
    <col min="5" max="5" width="22.5703125" bestFit="1" customWidth="1"/>
    <col min="6" max="6" width="20.5703125" bestFit="1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 x14ac:dyDescent="0.25">
      <c r="A1" s="514" t="s">
        <v>1775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</row>
    <row r="2" spans="1:14" ht="15.75" x14ac:dyDescent="0.25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</row>
    <row r="3" spans="1:14" ht="15.75" x14ac:dyDescent="0.25">
      <c r="A3" s="514" t="s">
        <v>2316</v>
      </c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</row>
    <row r="4" spans="1:14" ht="15.75" x14ac:dyDescent="0.25">
      <c r="A4" s="514" t="s">
        <v>2770</v>
      </c>
      <c r="B4" s="514"/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</row>
    <row r="5" spans="1:14" ht="15.75" x14ac:dyDescent="0.25">
      <c r="A5" s="262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</row>
    <row r="6" spans="1:14" ht="15.75" x14ac:dyDescent="0.25">
      <c r="A6" s="514" t="s">
        <v>2803</v>
      </c>
      <c r="B6" s="514"/>
      <c r="C6" s="514"/>
      <c r="D6" s="514"/>
      <c r="E6" s="514"/>
      <c r="F6" s="514"/>
      <c r="G6" s="514"/>
      <c r="H6" s="514"/>
      <c r="I6" s="514"/>
      <c r="J6" s="514"/>
      <c r="K6" s="514"/>
      <c r="L6" s="514"/>
      <c r="M6" s="514"/>
      <c r="N6" s="514"/>
    </row>
    <row r="8" spans="1:14" ht="15.75" thickBot="1" x14ac:dyDescent="0.3"/>
    <row r="9" spans="1:14" ht="15.75" thickBot="1" x14ac:dyDescent="0.3">
      <c r="A9" s="129"/>
      <c r="B9" s="130"/>
      <c r="C9" s="131"/>
      <c r="D9" s="129"/>
      <c r="E9" s="515" t="s">
        <v>2312</v>
      </c>
      <c r="F9" s="516"/>
      <c r="G9" s="132" t="s">
        <v>552</v>
      </c>
      <c r="H9" s="515" t="s">
        <v>132</v>
      </c>
      <c r="I9" s="516"/>
      <c r="J9" s="132" t="s">
        <v>2317</v>
      </c>
      <c r="K9" s="129"/>
      <c r="L9" s="263"/>
    </row>
    <row r="10" spans="1:14" x14ac:dyDescent="0.25">
      <c r="A10" s="133"/>
      <c r="B10" s="134"/>
      <c r="C10" s="135"/>
      <c r="D10" s="135"/>
      <c r="E10" s="131"/>
      <c r="F10" s="131"/>
      <c r="G10" s="131"/>
      <c r="H10" s="131"/>
      <c r="I10" s="131"/>
      <c r="J10" s="131"/>
      <c r="K10" s="133"/>
      <c r="L10" s="264"/>
    </row>
    <row r="11" spans="1:14" x14ac:dyDescent="0.25">
      <c r="A11" s="133"/>
      <c r="B11" s="134"/>
      <c r="C11" s="135"/>
      <c r="D11" s="135"/>
      <c r="E11" s="135"/>
      <c r="F11" s="135"/>
      <c r="G11" s="135"/>
      <c r="H11" s="135"/>
      <c r="I11" s="135"/>
      <c r="J11" s="135"/>
      <c r="K11" s="133"/>
      <c r="L11" s="264"/>
    </row>
    <row r="12" spans="1:14" ht="15.75" thickBot="1" x14ac:dyDescent="0.3">
      <c r="A12" s="136"/>
      <c r="B12" s="265" t="s">
        <v>119</v>
      </c>
      <c r="C12" s="266" t="s">
        <v>1424</v>
      </c>
      <c r="D12" s="266" t="s">
        <v>2318</v>
      </c>
      <c r="E12" s="137" t="s">
        <v>2313</v>
      </c>
      <c r="F12" s="137" t="s">
        <v>2314</v>
      </c>
      <c r="G12" s="137" t="s">
        <v>2313</v>
      </c>
      <c r="H12" s="137" t="s">
        <v>2313</v>
      </c>
      <c r="I12" s="137" t="s">
        <v>2315</v>
      </c>
      <c r="J12" s="137" t="s">
        <v>2315</v>
      </c>
      <c r="K12" s="162" t="s">
        <v>82</v>
      </c>
      <c r="L12" s="138" t="s">
        <v>2335</v>
      </c>
    </row>
    <row r="13" spans="1:14" x14ac:dyDescent="0.25">
      <c r="A13" s="120"/>
      <c r="B13" s="121"/>
      <c r="C13" s="139"/>
      <c r="D13" s="143"/>
      <c r="E13" s="144"/>
      <c r="F13" s="144"/>
      <c r="G13" s="144"/>
      <c r="H13" s="144"/>
      <c r="I13" s="144"/>
      <c r="J13" s="144"/>
      <c r="K13" s="121"/>
      <c r="L13" s="153"/>
    </row>
    <row r="14" spans="1:14" x14ac:dyDescent="0.25">
      <c r="A14" s="124" t="s">
        <v>1425</v>
      </c>
      <c r="B14" s="158" t="s">
        <v>210</v>
      </c>
      <c r="C14" s="140"/>
      <c r="D14" s="284">
        <f>'Allocation ProForma'!M174</f>
        <v>504468963.40468323</v>
      </c>
      <c r="E14" s="278">
        <f>'Allocation ProForma'!M123+'Allocation ProForma'!M124+'Allocation ProForma'!M125</f>
        <v>397868412.77722597</v>
      </c>
      <c r="F14" s="278">
        <f>'Allocation ProForma'!M126</f>
        <v>13020385.617615739</v>
      </c>
      <c r="G14" s="278">
        <f>'Allocation ProForma'!M135</f>
        <v>52707776.287951574</v>
      </c>
      <c r="H14" s="278">
        <f>'Allocation ProForma'!M145+'Allocation ProForma'!M147+'Allocation ProForma'!M152+'Allocation ProForma'!M141</f>
        <v>40034943.29541336</v>
      </c>
      <c r="I14" s="278">
        <f>'Allocation ProForma'!M146+'Allocation ProForma'!M148+'Allocation ProForma'!M153+'Allocation ProForma'!M157+'Allocation ProForma'!M160+'Allocation ProForma'!M163</f>
        <v>794537.31866553589</v>
      </c>
      <c r="J14" s="278">
        <f>'Allocation ProForma'!M166+'Allocation ProForma'!M169</f>
        <v>42908.10781105503</v>
      </c>
      <c r="K14" s="285">
        <f>SUM(E14:J14)</f>
        <v>504468963.40468329</v>
      </c>
      <c r="L14" s="154" t="str">
        <f>IF(ABS(K14-D14)&lt;0.01,"ok","err")</f>
        <v>ok</v>
      </c>
    </row>
    <row r="15" spans="1:14" x14ac:dyDescent="0.25">
      <c r="A15" s="125" t="s">
        <v>1663</v>
      </c>
      <c r="B15" s="304" t="s">
        <v>2293</v>
      </c>
      <c r="C15" s="140"/>
      <c r="D15" s="284">
        <f>'Allocation ProForma'!M857+'Allocation ProForma'!M858+'Allocation ProForma'!M859</f>
        <v>-32263358.945218258</v>
      </c>
      <c r="E15" s="279">
        <f t="shared" ref="E15:J15" si="0">(E14/$D$14)*$D$15</f>
        <v>-25445710.926914748</v>
      </c>
      <c r="F15" s="279">
        <f t="shared" si="0"/>
        <v>-832719.95952168433</v>
      </c>
      <c r="G15" s="279">
        <f t="shared" si="0"/>
        <v>-3370930.6794723189</v>
      </c>
      <c r="H15" s="279">
        <f t="shared" si="0"/>
        <v>-2560438.4800482043</v>
      </c>
      <c r="I15" s="279">
        <f t="shared" si="0"/>
        <v>-50814.707280442912</v>
      </c>
      <c r="J15" s="279">
        <f t="shared" si="0"/>
        <v>-2744.1919808606008</v>
      </c>
      <c r="K15" s="285">
        <f>SUM(E15:J15)</f>
        <v>-32263358.945218261</v>
      </c>
      <c r="L15" s="154" t="str">
        <f>IF(ABS(K15-D15)&lt;0.01,"ok","err")</f>
        <v>ok</v>
      </c>
    </row>
    <row r="16" spans="1:14" x14ac:dyDescent="0.25">
      <c r="A16" s="125" t="s">
        <v>2294</v>
      </c>
      <c r="B16" s="305" t="s">
        <v>2295</v>
      </c>
      <c r="C16" s="140"/>
      <c r="D16" s="286">
        <f>D14+D15</f>
        <v>472205604.45946497</v>
      </c>
      <c r="E16" s="276">
        <f t="shared" ref="E16:K16" si="1">E14+E15</f>
        <v>372422701.85031122</v>
      </c>
      <c r="F16" s="276">
        <f t="shared" si="1"/>
        <v>12187665.658094054</v>
      </c>
      <c r="G16" s="276">
        <f t="shared" si="1"/>
        <v>49336845.608479254</v>
      </c>
      <c r="H16" s="276">
        <f t="shared" si="1"/>
        <v>37474504.815365158</v>
      </c>
      <c r="I16" s="276">
        <f t="shared" si="1"/>
        <v>743722.61138509295</v>
      </c>
      <c r="J16" s="276">
        <f t="shared" si="1"/>
        <v>40163.915830194426</v>
      </c>
      <c r="K16" s="285">
        <f t="shared" si="1"/>
        <v>472205604.45946503</v>
      </c>
      <c r="L16" s="154" t="str">
        <f>IF(ABS(K16-D16)&lt;0.01,"ok","err")</f>
        <v>ok</v>
      </c>
    </row>
    <row r="17" spans="1:12" x14ac:dyDescent="0.25">
      <c r="A17" s="125"/>
      <c r="B17" s="305"/>
      <c r="C17" s="141"/>
      <c r="D17" s="287"/>
      <c r="E17" s="186"/>
      <c r="F17" s="186"/>
      <c r="G17" s="186"/>
      <c r="H17" s="186"/>
      <c r="I17" s="186"/>
      <c r="J17" s="186"/>
      <c r="K17" s="285"/>
      <c r="L17" s="155"/>
    </row>
    <row r="18" spans="1:12" x14ac:dyDescent="0.25">
      <c r="A18" s="125" t="s">
        <v>2296</v>
      </c>
      <c r="B18" s="158" t="s">
        <v>534</v>
      </c>
      <c r="C18" s="140"/>
      <c r="D18" s="288">
        <f>'Allocation ProForma'!M1092</f>
        <v>7.575068633814977E-2</v>
      </c>
      <c r="E18" s="280">
        <f t="shared" ref="E18:J18" si="2">D18</f>
        <v>7.575068633814977E-2</v>
      </c>
      <c r="F18" s="280">
        <f t="shared" si="2"/>
        <v>7.575068633814977E-2</v>
      </c>
      <c r="G18" s="280">
        <f t="shared" si="2"/>
        <v>7.575068633814977E-2</v>
      </c>
      <c r="H18" s="280">
        <f t="shared" si="2"/>
        <v>7.575068633814977E-2</v>
      </c>
      <c r="I18" s="280">
        <f t="shared" si="2"/>
        <v>7.575068633814977E-2</v>
      </c>
      <c r="J18" s="280">
        <f t="shared" si="2"/>
        <v>7.575068633814977E-2</v>
      </c>
      <c r="K18" s="285"/>
      <c r="L18" s="154"/>
    </row>
    <row r="19" spans="1:12" x14ac:dyDescent="0.25">
      <c r="A19" s="122"/>
      <c r="B19" s="158"/>
      <c r="C19" s="141"/>
      <c r="D19" s="287"/>
      <c r="E19" s="186"/>
      <c r="F19" s="186"/>
      <c r="G19" s="186"/>
      <c r="H19" s="186"/>
      <c r="I19" s="186"/>
      <c r="J19" s="186"/>
      <c r="K19" s="285"/>
      <c r="L19" s="155"/>
    </row>
    <row r="20" spans="1:12" x14ac:dyDescent="0.25">
      <c r="A20" s="125" t="s">
        <v>2297</v>
      </c>
      <c r="B20" s="158" t="s">
        <v>2298</v>
      </c>
      <c r="C20" s="140"/>
      <c r="D20" s="286">
        <f>D18*D16</f>
        <v>35769898.630525351</v>
      </c>
      <c r="E20" s="276">
        <f t="shared" ref="E20:J20" si="3">E18*E16</f>
        <v>28211275.273069195</v>
      </c>
      <c r="F20" s="276">
        <f t="shared" si="3"/>
        <v>923224.03846052242</v>
      </c>
      <c r="G20" s="276">
        <f t="shared" si="3"/>
        <v>3737299.9166016337</v>
      </c>
      <c r="H20" s="276">
        <f t="shared" si="3"/>
        <v>2838719.4599462091</v>
      </c>
      <c r="I20" s="276">
        <f t="shared" si="3"/>
        <v>56337.498257621832</v>
      </c>
      <c r="J20" s="276">
        <f t="shared" si="3"/>
        <v>3042.4441901649061</v>
      </c>
      <c r="K20" s="285">
        <f>SUM(E20:J20)</f>
        <v>35769898.630525351</v>
      </c>
      <c r="L20" s="154" t="str">
        <f>IF(ABS(K20-D20)&lt;0.01,"ok","err")</f>
        <v>ok</v>
      </c>
    </row>
    <row r="21" spans="1:12" x14ac:dyDescent="0.25">
      <c r="A21" s="122"/>
      <c r="B21" s="158"/>
      <c r="C21" s="141"/>
      <c r="D21" s="287"/>
      <c r="E21" s="186"/>
      <c r="F21" s="186"/>
      <c r="G21" s="186"/>
      <c r="H21" s="186"/>
      <c r="I21" s="186"/>
      <c r="J21" s="186"/>
      <c r="K21" s="285"/>
      <c r="L21" s="155"/>
    </row>
    <row r="22" spans="1:12" x14ac:dyDescent="0.25">
      <c r="A22" s="125" t="s">
        <v>1664</v>
      </c>
      <c r="B22" s="158" t="s">
        <v>2299</v>
      </c>
      <c r="C22" s="140"/>
      <c r="D22" s="286">
        <f>'Allocation ProForma'!M706</f>
        <v>8563035.9822794423</v>
      </c>
      <c r="E22" s="276">
        <f t="shared" ref="E22:J22" si="4">(E14/$D$14)*$D$22</f>
        <v>6753560.2424975019</v>
      </c>
      <c r="F22" s="276">
        <f t="shared" si="4"/>
        <v>221012.66606040378</v>
      </c>
      <c r="G22" s="276">
        <f t="shared" si="4"/>
        <v>894680.58025524602</v>
      </c>
      <c r="H22" s="276">
        <f t="shared" si="4"/>
        <v>679567.39632390859</v>
      </c>
      <c r="I22" s="276">
        <f t="shared" si="4"/>
        <v>13486.759627547088</v>
      </c>
      <c r="J22" s="276">
        <f t="shared" si="4"/>
        <v>728.33751483506785</v>
      </c>
      <c r="K22" s="285">
        <f>SUM(E22:J22)</f>
        <v>8563035.9822794423</v>
      </c>
      <c r="L22" s="154" t="str">
        <f>IF(ABS(K22-D22)&lt;0.01,"ok","err")</f>
        <v>ok</v>
      </c>
    </row>
    <row r="23" spans="1:12" x14ac:dyDescent="0.25">
      <c r="A23" s="122"/>
      <c r="B23" s="158"/>
      <c r="C23" s="141"/>
      <c r="D23" s="287"/>
      <c r="E23" s="186"/>
      <c r="F23" s="186"/>
      <c r="G23" s="186"/>
      <c r="H23" s="186"/>
      <c r="I23" s="186"/>
      <c r="J23" s="186"/>
      <c r="K23" s="285"/>
      <c r="L23" s="155"/>
    </row>
    <row r="24" spans="1:12" x14ac:dyDescent="0.25">
      <c r="A24" s="125" t="s">
        <v>1665</v>
      </c>
      <c r="B24" s="158" t="s">
        <v>248</v>
      </c>
      <c r="C24" s="140"/>
      <c r="D24" s="286">
        <f>D20-D22</f>
        <v>27206862.648245908</v>
      </c>
      <c r="E24" s="276">
        <f t="shared" ref="E24:J24" si="5">E20-E22</f>
        <v>21457715.030571692</v>
      </c>
      <c r="F24" s="276">
        <f t="shared" si="5"/>
        <v>702211.37240011862</v>
      </c>
      <c r="G24" s="276">
        <f t="shared" si="5"/>
        <v>2842619.3363463879</v>
      </c>
      <c r="H24" s="276">
        <f t="shared" si="5"/>
        <v>2159152.0636223005</v>
      </c>
      <c r="I24" s="276">
        <f t="shared" si="5"/>
        <v>42850.738630074746</v>
      </c>
      <c r="J24" s="276">
        <f t="shared" si="5"/>
        <v>2314.1066753298383</v>
      </c>
      <c r="K24" s="285">
        <f>SUM(E24:J24)</f>
        <v>27206862.648245905</v>
      </c>
      <c r="L24" s="154" t="str">
        <f>IF(ABS(K24-D24)&lt;0.01,"ok","err")</f>
        <v>ok</v>
      </c>
    </row>
    <row r="25" spans="1:12" x14ac:dyDescent="0.25">
      <c r="A25" s="122"/>
      <c r="B25" s="158"/>
      <c r="C25" s="141"/>
      <c r="D25" s="287"/>
      <c r="E25" s="186"/>
      <c r="F25" s="186"/>
      <c r="G25" s="186"/>
      <c r="H25" s="186"/>
      <c r="I25" s="186"/>
      <c r="J25" s="186"/>
      <c r="K25" s="285"/>
      <c r="L25" s="155"/>
    </row>
    <row r="26" spans="1:12" x14ac:dyDescent="0.25">
      <c r="A26" s="125" t="s">
        <v>1666</v>
      </c>
      <c r="B26" s="158" t="s">
        <v>660</v>
      </c>
      <c r="C26" s="141"/>
      <c r="D26" s="286">
        <f>'Allocation ProForma'!M820+'Allocation ProForma'!M1084</f>
        <v>15188118.955691718</v>
      </c>
      <c r="E26" s="276">
        <f t="shared" ref="E26:J26" si="6">$D$26*(E24/$K$24)</f>
        <v>11978680.989984294</v>
      </c>
      <c r="F26" s="276">
        <f t="shared" si="6"/>
        <v>392006.60487548547</v>
      </c>
      <c r="G26" s="276">
        <f t="shared" si="6"/>
        <v>1586880.530268047</v>
      </c>
      <c r="H26" s="276">
        <f t="shared" si="6"/>
        <v>1205337.741793504</v>
      </c>
      <c r="I26" s="276">
        <f t="shared" si="6"/>
        <v>23921.248255163657</v>
      </c>
      <c r="J26" s="276">
        <f t="shared" si="6"/>
        <v>1291.8405152214737</v>
      </c>
      <c r="K26" s="285">
        <f>SUM(E26:J26)</f>
        <v>15188118.955691718</v>
      </c>
      <c r="L26" s="154" t="str">
        <f>IF(ABS(K26-D26)&lt;0.01,"ok","err")</f>
        <v>ok</v>
      </c>
    </row>
    <row r="27" spans="1:12" x14ac:dyDescent="0.25">
      <c r="A27" s="122"/>
      <c r="B27" s="158"/>
      <c r="C27" s="141"/>
      <c r="D27" s="287"/>
      <c r="E27" s="186"/>
      <c r="F27" s="186"/>
      <c r="G27" s="186"/>
      <c r="H27" s="186"/>
      <c r="I27" s="186"/>
      <c r="J27" s="186"/>
      <c r="K27" s="285"/>
      <c r="L27" s="155"/>
    </row>
    <row r="28" spans="1:12" x14ac:dyDescent="0.25">
      <c r="A28" s="125" t="s">
        <v>1667</v>
      </c>
      <c r="B28" s="158" t="s">
        <v>945</v>
      </c>
      <c r="C28" s="140"/>
      <c r="D28" s="286">
        <f>'Allocation ProForma'!M672</f>
        <v>145790692.3536911</v>
      </c>
      <c r="E28" s="276">
        <f>'Allocation ProForma'!M180+'Allocation ProForma'!M181+'Allocation ProForma'!M182</f>
        <v>15580437.398943681</v>
      </c>
      <c r="F28" s="276">
        <f>'Allocation ProForma'!M183</f>
        <v>120395218.88158435</v>
      </c>
      <c r="G28" s="276">
        <f>'Allocation ProForma'!M192</f>
        <v>5113774.4326237822</v>
      </c>
      <c r="H28" s="276">
        <f>'Allocation ProForma'!M198+'Allocation ProForma'!M202+'Allocation ProForma'!M204+'Allocation ProForma'!M209</f>
        <v>4183562.2189343823</v>
      </c>
      <c r="I28" s="276">
        <f>'Allocation ProForma'!M203+'Allocation ProForma'!M205+'Allocation ProForma'!M210+'Allocation ProForma'!M214+'Allocation ProForma'!M217</f>
        <v>176712.81524407773</v>
      </c>
      <c r="J28" s="276">
        <f>'Allocation ProForma'!M223+'Allocation ProForma'!M226</f>
        <v>340986.60636081296</v>
      </c>
      <c r="K28" s="285">
        <f>SUM(E28:J28)</f>
        <v>145790692.3536911</v>
      </c>
      <c r="L28" s="154" t="str">
        <f>IF(ABS(K28-D28)&lt;0.01,"ok","err")</f>
        <v>ok</v>
      </c>
    </row>
    <row r="29" spans="1:12" x14ac:dyDescent="0.25">
      <c r="A29" s="125" t="s">
        <v>2300</v>
      </c>
      <c r="B29" s="158" t="s">
        <v>1040</v>
      </c>
      <c r="C29" s="140"/>
      <c r="D29" s="286">
        <f>'Allocation ProForma'!M673</f>
        <v>24487872.458493497</v>
      </c>
      <c r="E29" s="276">
        <f>'Allocation ProForma'!M300</f>
        <v>20878025.061398905</v>
      </c>
      <c r="F29" s="276">
        <v>0</v>
      </c>
      <c r="G29" s="276">
        <f>'Allocation ProForma'!M306</f>
        <v>1802890.9124702606</v>
      </c>
      <c r="H29" s="276">
        <f>'Allocation ProForma'!M312+'Allocation ProForma'!M316+'Allocation ProForma'!M318+'Allocation ProForma'!M323</f>
        <v>1772460.229509565</v>
      </c>
      <c r="I29" s="276">
        <f>'Allocation ProForma'!M317+'Allocation ProForma'!M319+'Allocation ProForma'!M324+'Allocation ProForma'!M328+'Allocation ProForma'!M331</f>
        <v>34496.255114764266</v>
      </c>
      <c r="J29" s="276">
        <v>0</v>
      </c>
      <c r="K29" s="285">
        <f>SUM(E29:J29)</f>
        <v>24487872.458493497</v>
      </c>
      <c r="L29" s="154" t="str">
        <f>IF(ABS(K29-D29)&lt;0.01,"ok","err")</f>
        <v>ok</v>
      </c>
    </row>
    <row r="30" spans="1:12" x14ac:dyDescent="0.25">
      <c r="A30" s="125" t="s">
        <v>2301</v>
      </c>
      <c r="B30" s="158" t="s">
        <v>521</v>
      </c>
      <c r="C30" s="140"/>
      <c r="D30" s="286">
        <f>'Allocation ProForma'!M675+'Allocation ProForma'!M676+'Allocation ProForma'!M677+'Allocation ProForma'!M674</f>
        <v>3239097.7421014281</v>
      </c>
      <c r="E30" s="276">
        <f>'Allocation ProForma'!M414+'Allocation ProForma'!M471+'Allocation ProForma'!M357</f>
        <v>2488862.8850050699</v>
      </c>
      <c r="F30" s="276">
        <f>'Allocation ProForma'!M529</f>
        <v>-150.95841617602724</v>
      </c>
      <c r="G30" s="276">
        <f>'Allocation ProForma'!M420+'Allocation ProForma'!M477+'Allocation ProForma'!M363</f>
        <v>439977.09414961498</v>
      </c>
      <c r="H30" s="276">
        <f>'Allocation ProForma'!M426+'Allocation ProForma'!M430+'Allocation ProForma'!M432+'Allocation ProForma'!M437+'Allocation ProForma'!M483+'Allocation ProForma'!M487+'Allocation ProForma'!M489+'Allocation ProForma'!M494+'Allocation ProForma'!M369+'Allocation ProForma'!M373+'Allocation ProForma'!M375+'Allocation ProForma'!M380</f>
        <v>304482.76878293254</v>
      </c>
      <c r="I30" s="276">
        <f>'Allocation ProForma'!M431+'Allocation ProForma'!M433+'Allocation ProForma'!M438+'Allocation ProForma'!M442+'Allocation ProForma'!M445+'Allocation ProForma'!M488+'Allocation ProForma'!M490+'Allocation ProForma'!M495+'Allocation ProForma'!M499+'Allocation ProForma'!M502+'Allocation ProForma'!M374+'Allocation ProForma'!M376+'Allocation ProForma'!M381+'Allocation ProForma'!M385+'Allocation ProForma'!M388</f>
        <v>5925.9525799865833</v>
      </c>
      <c r="J30" s="276">
        <v>0</v>
      </c>
      <c r="K30" s="285">
        <f>SUM(E30:J30)</f>
        <v>3239097.7421014286</v>
      </c>
      <c r="L30" s="154" t="str">
        <f>IF(ABS(K30-D30)&lt;0.01,"ok","err")</f>
        <v>ok</v>
      </c>
    </row>
    <row r="31" spans="1:12" x14ac:dyDescent="0.25">
      <c r="A31" s="125" t="s">
        <v>2302</v>
      </c>
      <c r="B31" s="158" t="s">
        <v>2338</v>
      </c>
      <c r="C31" s="140"/>
      <c r="D31" s="286">
        <f>'Allocation ProForma'!M680+'Allocation ProForma'!M679</f>
        <v>701522.18240486679</v>
      </c>
      <c r="E31" s="276">
        <f>D31</f>
        <v>701522.18240486679</v>
      </c>
      <c r="F31" s="276"/>
      <c r="G31" s="276"/>
      <c r="H31" s="276"/>
      <c r="I31" s="276"/>
      <c r="J31" s="276"/>
      <c r="K31" s="285">
        <f>SUM(E31:J31)</f>
        <v>701522.18240486679</v>
      </c>
      <c r="L31" s="154" t="str">
        <f>IF(ABS(K31-D31)&lt;0.01,"ok","err")</f>
        <v>ok</v>
      </c>
    </row>
    <row r="32" spans="1:12" x14ac:dyDescent="0.25">
      <c r="A32" s="125" t="s">
        <v>2303</v>
      </c>
      <c r="B32" s="158" t="s">
        <v>2320</v>
      </c>
      <c r="C32" s="140"/>
      <c r="D32" s="286">
        <f>'Allocation ProForma'!M826</f>
        <v>-1036325.3778633086</v>
      </c>
      <c r="E32" s="276">
        <f>D32</f>
        <v>-1036325.3778633086</v>
      </c>
      <c r="F32" s="276">
        <v>0</v>
      </c>
      <c r="G32" s="276">
        <v>0</v>
      </c>
      <c r="H32" s="276">
        <v>0</v>
      </c>
      <c r="I32" s="276">
        <v>0</v>
      </c>
      <c r="J32" s="276">
        <v>0</v>
      </c>
      <c r="K32" s="285">
        <f>SUM(E32:J32)</f>
        <v>-1036325.3778633086</v>
      </c>
      <c r="L32" s="154" t="str">
        <f t="shared" ref="L32:L38" si="7">IF(ABS(K32-D32)&lt;0.01,"ok","err")</f>
        <v>ok</v>
      </c>
    </row>
    <row r="33" spans="1:12" x14ac:dyDescent="0.25">
      <c r="A33" s="125" t="s">
        <v>2305</v>
      </c>
      <c r="B33" s="158" t="s">
        <v>2319</v>
      </c>
      <c r="C33" s="140"/>
      <c r="D33" s="286">
        <f>'Allocation ProForma'!M825+'Allocation ProForma'!M828+'Allocation ProForma'!M829</f>
        <v>-3007410.5627622218</v>
      </c>
      <c r="E33" s="276">
        <v>0</v>
      </c>
      <c r="F33" s="276">
        <f>D33</f>
        <v>-3007410.5627622218</v>
      </c>
      <c r="G33" s="276">
        <v>0</v>
      </c>
      <c r="H33" s="276">
        <v>0</v>
      </c>
      <c r="I33" s="276">
        <v>0</v>
      </c>
      <c r="J33" s="276">
        <v>0</v>
      </c>
      <c r="K33" s="285">
        <f t="shared" ref="K33:K38" si="8">SUM(E33:J33)</f>
        <v>-3007410.5627622218</v>
      </c>
      <c r="L33" s="154" t="str">
        <f t="shared" si="7"/>
        <v>ok</v>
      </c>
    </row>
    <row r="34" spans="1:12" x14ac:dyDescent="0.25">
      <c r="A34" s="125" t="s">
        <v>2306</v>
      </c>
      <c r="B34" s="158" t="s">
        <v>2323</v>
      </c>
      <c r="C34" s="140"/>
      <c r="D34" s="286">
        <f>'Allocation ProForma'!M839+'Allocation ProForma'!M842</f>
        <v>-831704.82058518194</v>
      </c>
      <c r="E34" s="276">
        <v>0</v>
      </c>
      <c r="F34" s="276">
        <v>0</v>
      </c>
      <c r="G34" s="276">
        <f>D34</f>
        <v>-831704.82058518194</v>
      </c>
      <c r="H34" s="276">
        <v>0</v>
      </c>
      <c r="I34" s="276">
        <v>0</v>
      </c>
      <c r="J34" s="276">
        <v>0</v>
      </c>
      <c r="K34" s="285">
        <f t="shared" si="8"/>
        <v>-831704.82058518194</v>
      </c>
      <c r="L34" s="154" t="str">
        <f t="shared" si="7"/>
        <v>ok</v>
      </c>
    </row>
    <row r="35" spans="1:12" x14ac:dyDescent="0.25">
      <c r="A35" s="125" t="s">
        <v>2308</v>
      </c>
      <c r="B35" s="158" t="s">
        <v>2321</v>
      </c>
      <c r="C35" s="140"/>
      <c r="D35" s="286">
        <f>'Allocation ProForma'!M830+'Allocation ProForma'!M837</f>
        <v>-154504.27868696116</v>
      </c>
      <c r="E35" s="276">
        <v>0</v>
      </c>
      <c r="F35" s="276">
        <v>0</v>
      </c>
      <c r="G35" s="276">
        <v>0</v>
      </c>
      <c r="H35" s="276">
        <f>(H14/($I$14+$H$14)*$D$35)</f>
        <v>-151497.6419758402</v>
      </c>
      <c r="I35" s="276">
        <f>(I14/($I$14+$H$14)*$D$35)</f>
        <v>-3006.6367111209515</v>
      </c>
      <c r="J35" s="276">
        <v>0</v>
      </c>
      <c r="K35" s="285">
        <f t="shared" si="8"/>
        <v>-154504.27868696116</v>
      </c>
      <c r="L35" s="154" t="str">
        <f t="shared" si="7"/>
        <v>ok</v>
      </c>
    </row>
    <row r="36" spans="1:12" x14ac:dyDescent="0.25">
      <c r="A36" s="159" t="s">
        <v>2310</v>
      </c>
      <c r="B36" s="158" t="s">
        <v>2322</v>
      </c>
      <c r="C36" s="140"/>
      <c r="D36" s="286">
        <f>'Allocation ProForma'!M831+'Allocation ProForma'!M832+'Allocation ProForma'!M833+'Allocation ProForma'!M834+'Allocation ProForma'!M835+'Allocation ProForma'!M836+'Allocation ProForma'!M838+'Allocation ProForma'!M840+'Allocation ProForma'!M841+'Allocation ProForma'!M843+'Allocation ProForma'!M844+'Allocation ProForma'!M845+'Allocation ProForma'!M846+'Allocation ProForma'!M847</f>
        <v>14819.00829086201</v>
      </c>
      <c r="E36" s="276">
        <f t="shared" ref="E36:J36" si="9">(E14/($D$14)*$D$36)</f>
        <v>11687.567987979584</v>
      </c>
      <c r="F36" s="276">
        <f t="shared" si="9"/>
        <v>382.47982812549151</v>
      </c>
      <c r="G36" s="276">
        <f t="shared" si="9"/>
        <v>1548.3152194984038</v>
      </c>
      <c r="H36" s="276">
        <f t="shared" si="9"/>
        <v>1176.0449099085513</v>
      </c>
      <c r="I36" s="276">
        <f t="shared" si="9"/>
        <v>23.33989990828946</v>
      </c>
      <c r="J36" s="276">
        <f t="shared" si="9"/>
        <v>1.2604454416894311</v>
      </c>
      <c r="K36" s="285">
        <f t="shared" si="8"/>
        <v>14819.008290862008</v>
      </c>
      <c r="L36" s="154" t="str">
        <f t="shared" si="7"/>
        <v>ok</v>
      </c>
    </row>
    <row r="37" spans="1:12" x14ac:dyDescent="0.25">
      <c r="A37" s="125"/>
      <c r="B37" s="158"/>
      <c r="D37" s="286"/>
      <c r="E37" s="276"/>
      <c r="F37" s="276"/>
      <c r="G37" s="276"/>
      <c r="H37" s="276"/>
      <c r="I37" s="276"/>
      <c r="J37" s="276"/>
      <c r="K37" s="285"/>
      <c r="L37" s="154"/>
    </row>
    <row r="38" spans="1:12" x14ac:dyDescent="0.25">
      <c r="A38" s="125" t="s">
        <v>2324</v>
      </c>
      <c r="B38" s="158" t="s">
        <v>2329</v>
      </c>
      <c r="C38" s="140"/>
      <c r="D38" s="286">
        <f>'Allocation ProForma'!M848</f>
        <v>-5015126.031606812</v>
      </c>
      <c r="E38" s="276">
        <f>SUM(E32:E36)</f>
        <v>-1024637.809875329</v>
      </c>
      <c r="F38" s="276">
        <f>SUM(F33:F36)</f>
        <v>-3007028.0829340965</v>
      </c>
      <c r="G38" s="276">
        <f>SUM(G32:G36)</f>
        <v>-830156.50536568358</v>
      </c>
      <c r="H38" s="276">
        <f>SUM(H32:H36)</f>
        <v>-150321.59706593165</v>
      </c>
      <c r="I38" s="276">
        <f>SUM(I32:I36)</f>
        <v>-2983.2968112126619</v>
      </c>
      <c r="J38" s="276">
        <f>SUM(J32:J36)</f>
        <v>1.2604454416894311</v>
      </c>
      <c r="K38" s="285">
        <f t="shared" si="8"/>
        <v>-5015126.0316068111</v>
      </c>
      <c r="L38" s="154" t="str">
        <f t="shared" si="7"/>
        <v>ok</v>
      </c>
    </row>
    <row r="39" spans="1:12" x14ac:dyDescent="0.25">
      <c r="A39" s="122"/>
      <c r="B39" s="158"/>
      <c r="C39" s="141"/>
      <c r="D39" s="289"/>
      <c r="E39" s="186"/>
      <c r="F39" s="186"/>
      <c r="G39" s="186"/>
      <c r="H39" s="186"/>
      <c r="I39" s="186"/>
      <c r="J39" s="186"/>
      <c r="K39" s="158"/>
      <c r="L39" s="155"/>
    </row>
    <row r="40" spans="1:12" x14ac:dyDescent="0.25">
      <c r="A40" s="125" t="s">
        <v>2325</v>
      </c>
      <c r="B40" s="158" t="s">
        <v>2304</v>
      </c>
      <c r="C40" s="157">
        <f>'Allocation ProForma'!M1028</f>
        <v>219293231.5839414</v>
      </c>
      <c r="D40" s="286">
        <f>SUM(D28:D31)+D22+D26+D38+D24</f>
        <v>220162076.29130116</v>
      </c>
      <c r="E40" s="276">
        <f t="shared" ref="E40:J40" si="10">SUM(E28:E31)+E22+E26+E38+E24</f>
        <v>78814165.980930686</v>
      </c>
      <c r="F40" s="276">
        <f t="shared" si="10"/>
        <v>118703270.48357008</v>
      </c>
      <c r="G40" s="276">
        <f t="shared" si="10"/>
        <v>11850666.380747655</v>
      </c>
      <c r="H40" s="276">
        <f t="shared" si="10"/>
        <v>10154240.821900662</v>
      </c>
      <c r="I40" s="276">
        <f t="shared" si="10"/>
        <v>294410.47264040145</v>
      </c>
      <c r="J40" s="276">
        <f t="shared" si="10"/>
        <v>345322.15151164104</v>
      </c>
      <c r="K40" s="285">
        <f>SUM(E40:J40)</f>
        <v>220162076.29130113</v>
      </c>
      <c r="L40" s="154" t="str">
        <f>IF(ABS(K40-D40)&lt;0.01,"ok","err")</f>
        <v>ok</v>
      </c>
    </row>
    <row r="41" spans="1:12" x14ac:dyDescent="0.25">
      <c r="A41" s="122"/>
      <c r="B41" s="158"/>
      <c r="C41" s="141"/>
      <c r="D41" s="290"/>
      <c r="E41" s="186"/>
      <c r="F41" s="186"/>
      <c r="G41" s="186"/>
      <c r="H41" s="186"/>
      <c r="I41" s="186"/>
      <c r="J41" s="186"/>
      <c r="K41" s="158"/>
      <c r="L41" s="155"/>
    </row>
    <row r="42" spans="1:12" x14ac:dyDescent="0.25">
      <c r="A42" s="125" t="s">
        <v>2326</v>
      </c>
      <c r="B42" s="158" t="s">
        <v>2347</v>
      </c>
      <c r="C42" s="140"/>
      <c r="D42" s="286">
        <f>-'Allocation ProForma'!M661</f>
        <v>-1802999.2758667881</v>
      </c>
      <c r="E42" s="276"/>
      <c r="F42" s="276">
        <v>0</v>
      </c>
      <c r="G42" s="276">
        <f>D42</f>
        <v>-1802999.2758667881</v>
      </c>
      <c r="H42" s="276">
        <v>0</v>
      </c>
      <c r="I42" s="276">
        <v>0</v>
      </c>
      <c r="J42" s="276">
        <v>0</v>
      </c>
      <c r="K42" s="285">
        <f>SUM(E42:J42)</f>
        <v>-1802999.2758667881</v>
      </c>
      <c r="L42" s="154" t="str">
        <f>IF(ABS(K42-D42)&lt;0.01,"ok","err")</f>
        <v>ok</v>
      </c>
    </row>
    <row r="43" spans="1:12" x14ac:dyDescent="0.25">
      <c r="A43" s="125" t="s">
        <v>2327</v>
      </c>
      <c r="B43" s="158" t="s">
        <v>2330</v>
      </c>
      <c r="C43" s="140"/>
      <c r="D43" s="286">
        <f>-('Allocation ProForma'!M654+'Allocation ProForma'!M655+'Allocation ProForma'!M656)</f>
        <v>-5517117.022535556</v>
      </c>
      <c r="E43" s="276">
        <v>0</v>
      </c>
      <c r="F43" s="276">
        <f>D43</f>
        <v>-5517117.022535556</v>
      </c>
      <c r="G43" s="276">
        <v>0</v>
      </c>
      <c r="H43" s="276">
        <v>0</v>
      </c>
      <c r="I43" s="276">
        <v>0</v>
      </c>
      <c r="J43" s="276">
        <v>0</v>
      </c>
      <c r="K43" s="285">
        <f>SUM(E43:J43)</f>
        <v>-5517117.022535556</v>
      </c>
      <c r="L43" s="154" t="str">
        <f>IF(ABS(K43-D43)&lt;0.01,"ok","err")</f>
        <v>ok</v>
      </c>
    </row>
    <row r="44" spans="1:12" x14ac:dyDescent="0.25">
      <c r="A44" s="125" t="s">
        <v>2328</v>
      </c>
      <c r="B44" s="158" t="s">
        <v>2331</v>
      </c>
      <c r="C44" s="140"/>
      <c r="D44" s="286">
        <f>-('Allocation ProForma'!M652+'Allocation ProForma'!M653+'Allocation ProForma'!M657+'Allocation ProForma'!M658+'Allocation ProForma'!M659+'Allocation ProForma'!M660+'Allocation ProForma'!M662+'Allocation ProForma'!M663+'Allocation ProForma'!M664+'Allocation ProForma'!M665+'Allocation ProForma'!M666)</f>
        <v>-493155.92657462938</v>
      </c>
      <c r="E44" s="276">
        <f t="shared" ref="E44:J44" si="11">(E14/($D$14)*$D$44)</f>
        <v>-388945.96098378819</v>
      </c>
      <c r="F44" s="276">
        <f t="shared" si="11"/>
        <v>-12728.395202507829</v>
      </c>
      <c r="G44" s="276">
        <f t="shared" si="11"/>
        <v>-51525.770936519286</v>
      </c>
      <c r="H44" s="276">
        <f t="shared" si="11"/>
        <v>-39137.13427078403</v>
      </c>
      <c r="I44" s="276">
        <f t="shared" si="11"/>
        <v>-776.71931478230226</v>
      </c>
      <c r="J44" s="276">
        <f t="shared" si="11"/>
        <v>-41.945866247771811</v>
      </c>
      <c r="K44" s="285">
        <f>SUM(E44:J44)</f>
        <v>-493155.92657462944</v>
      </c>
      <c r="L44" s="154" t="str">
        <f>IF(ABS(K44-D44)&lt;0.01,"ok","err")</f>
        <v>ok</v>
      </c>
    </row>
    <row r="45" spans="1:12" x14ac:dyDescent="0.25">
      <c r="A45" s="125" t="s">
        <v>2332</v>
      </c>
      <c r="B45" s="158" t="s">
        <v>2334</v>
      </c>
      <c r="C45" s="140"/>
      <c r="D45" s="286">
        <f>SUM(D42:D44)</f>
        <v>-7813272.2249769736</v>
      </c>
      <c r="E45" s="276">
        <f t="shared" ref="E45:J45" si="12">SUM(E42:E44)</f>
        <v>-388945.96098378819</v>
      </c>
      <c r="F45" s="276">
        <f t="shared" si="12"/>
        <v>-5529845.4177380642</v>
      </c>
      <c r="G45" s="276">
        <f t="shared" si="12"/>
        <v>-1854525.0468033075</v>
      </c>
      <c r="H45" s="276">
        <f t="shared" si="12"/>
        <v>-39137.13427078403</v>
      </c>
      <c r="I45" s="276">
        <f t="shared" si="12"/>
        <v>-776.71931478230226</v>
      </c>
      <c r="J45" s="276">
        <f t="shared" si="12"/>
        <v>-41.945866247771811</v>
      </c>
      <c r="K45" s="285">
        <f>SUM(E45:J45)</f>
        <v>-7813272.2249769745</v>
      </c>
      <c r="L45" s="154" t="str">
        <f>IF(ABS(K45-D45)&lt;0.01,"ok","err")</f>
        <v>ok</v>
      </c>
    </row>
    <row r="46" spans="1:12" x14ac:dyDescent="0.25">
      <c r="A46" s="122"/>
      <c r="B46" s="158"/>
      <c r="D46" s="287"/>
      <c r="E46" s="186"/>
      <c r="F46" s="186"/>
      <c r="G46" s="186"/>
      <c r="H46" s="186"/>
      <c r="I46" s="186"/>
      <c r="J46" s="186"/>
      <c r="K46" s="158"/>
      <c r="L46" s="155"/>
    </row>
    <row r="47" spans="1:12" x14ac:dyDescent="0.25">
      <c r="A47" s="125" t="s">
        <v>2333</v>
      </c>
      <c r="B47" s="158" t="s">
        <v>2307</v>
      </c>
      <c r="C47" s="39">
        <f>'Allocation ProForma'!M1028-SUM('Allocation ProForma'!M652:M666)</f>
        <v>211479959.35896441</v>
      </c>
      <c r="D47" s="286">
        <f>D40+D45</f>
        <v>212348804.06632417</v>
      </c>
      <c r="E47" s="276">
        <f t="shared" ref="E47:J47" si="13">E40+E45</f>
        <v>78425220.019946903</v>
      </c>
      <c r="F47" s="276">
        <f t="shared" si="13"/>
        <v>113173425.06583202</v>
      </c>
      <c r="G47" s="276">
        <f t="shared" si="13"/>
        <v>9996141.3339443486</v>
      </c>
      <c r="H47" s="276">
        <f t="shared" si="13"/>
        <v>10115103.687629879</v>
      </c>
      <c r="I47" s="276">
        <f t="shared" si="13"/>
        <v>293633.75332561915</v>
      </c>
      <c r="J47" s="276">
        <f t="shared" si="13"/>
        <v>345280.20564539329</v>
      </c>
      <c r="K47" s="285">
        <f>SUM(E47:J47)</f>
        <v>212348804.06632414</v>
      </c>
      <c r="L47" s="154" t="str">
        <f>IF(ABS(K47-D47)&lt;0.01,"ok","err")</f>
        <v>ok</v>
      </c>
    </row>
    <row r="48" spans="1:12" x14ac:dyDescent="0.25">
      <c r="A48" s="122"/>
      <c r="B48" s="158"/>
      <c r="C48" s="141"/>
      <c r="D48" s="289"/>
      <c r="E48" s="186"/>
      <c r="F48" s="186"/>
      <c r="G48" s="186"/>
      <c r="H48" s="186"/>
      <c r="I48" s="186"/>
      <c r="J48" s="186"/>
      <c r="K48" s="158"/>
      <c r="L48" s="155"/>
    </row>
    <row r="49" spans="1:12" x14ac:dyDescent="0.25">
      <c r="A49" s="125" t="s">
        <v>2339</v>
      </c>
      <c r="B49" s="158" t="s">
        <v>2309</v>
      </c>
      <c r="C49" s="140"/>
      <c r="D49" s="291"/>
      <c r="E49" s="281">
        <v>5142035</v>
      </c>
      <c r="F49" s="281">
        <f>'Allocation ProForma'!$M$1121</f>
        <v>3611372403</v>
      </c>
      <c r="G49" s="281">
        <f>E49</f>
        <v>5142035</v>
      </c>
      <c r="H49" s="281">
        <f>E49</f>
        <v>5142035</v>
      </c>
      <c r="I49" s="281">
        <f>'Allocation ProForma'!$M$1136*12</f>
        <v>2004</v>
      </c>
      <c r="J49" s="281">
        <f>'Allocation ProForma'!$M$1136*12</f>
        <v>2004</v>
      </c>
      <c r="K49" s="158"/>
      <c r="L49" s="155"/>
    </row>
    <row r="50" spans="1:12" ht="15.75" thickBot="1" x14ac:dyDescent="0.3">
      <c r="A50" s="122"/>
      <c r="B50" s="158"/>
      <c r="C50" s="141"/>
      <c r="D50" s="287"/>
      <c r="E50" s="313"/>
      <c r="F50" s="313"/>
      <c r="G50" s="313"/>
      <c r="H50" s="313"/>
      <c r="I50" s="313"/>
      <c r="J50" s="313"/>
      <c r="K50" s="158"/>
      <c r="L50" s="155"/>
    </row>
    <row r="51" spans="1:12" ht="15.75" thickBot="1" x14ac:dyDescent="0.3">
      <c r="A51" s="127" t="s">
        <v>2340</v>
      </c>
      <c r="B51" s="306" t="s">
        <v>2311</v>
      </c>
      <c r="C51" s="142"/>
      <c r="D51" s="292"/>
      <c r="E51" s="297">
        <f t="shared" ref="E51:J51" si="14">E47/E49</f>
        <v>15.251786504748976</v>
      </c>
      <c r="F51" s="308">
        <f t="shared" si="14"/>
        <v>3.1338065543120901E-2</v>
      </c>
      <c r="G51" s="297">
        <f t="shared" si="14"/>
        <v>1.944004919053322</v>
      </c>
      <c r="H51" s="297">
        <f t="shared" si="14"/>
        <v>1.9671401862550291</v>
      </c>
      <c r="I51" s="297">
        <f>I47/I49</f>
        <v>146.52382900479998</v>
      </c>
      <c r="J51" s="297">
        <f t="shared" si="14"/>
        <v>172.29551179909845</v>
      </c>
      <c r="K51" s="293">
        <f>I51+J51</f>
        <v>318.8193408038984</v>
      </c>
      <c r="L51" s="156"/>
    </row>
    <row r="53" spans="1:12" x14ac:dyDescent="0.25">
      <c r="J53" s="163" t="s">
        <v>2349</v>
      </c>
      <c r="K53" s="314">
        <f>I51+J51</f>
        <v>318.8193408038984</v>
      </c>
    </row>
    <row r="54" spans="1:12" x14ac:dyDescent="0.25">
      <c r="J54" s="163" t="s">
        <v>2348</v>
      </c>
      <c r="K54" s="311">
        <f>F51</f>
        <v>3.1338065543120901E-2</v>
      </c>
    </row>
    <row r="55" spans="1:12" x14ac:dyDescent="0.25">
      <c r="J55" s="163" t="s">
        <v>2802</v>
      </c>
      <c r="K55" s="314">
        <f>E51+G51+H51</f>
        <v>19.162931610057328</v>
      </c>
    </row>
    <row r="57" spans="1:12" x14ac:dyDescent="0.25">
      <c r="J57" s="163" t="s">
        <v>1754</v>
      </c>
      <c r="K57" s="268">
        <f>K53</f>
        <v>318.8193408038984</v>
      </c>
    </row>
    <row r="58" spans="1:12" ht="15.75" thickBot="1" x14ac:dyDescent="0.3">
      <c r="J58" s="163" t="s">
        <v>2800</v>
      </c>
      <c r="K58" s="269">
        <f>((I47+J47)*D18)/J49</f>
        <v>24.150783883771783</v>
      </c>
    </row>
    <row r="59" spans="1:12" ht="15.75" thickBot="1" x14ac:dyDescent="0.3">
      <c r="K59" s="270">
        <f>SUM(K57:K58)</f>
        <v>342.97012468767019</v>
      </c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0.75" bottom="0.75" header="0.3" footer="0.3"/>
  <pageSetup scale="4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59"/>
  <sheetViews>
    <sheetView view="pageBreakPreview" zoomScale="60" zoomScaleNormal="100" workbookViewId="0">
      <selection activeCell="D26" sqref="D26"/>
    </sheetView>
  </sheetViews>
  <sheetFormatPr defaultRowHeight="15" x14ac:dyDescent="0.25"/>
  <cols>
    <col min="1" max="1" width="4.5703125" customWidth="1"/>
    <col min="2" max="2" width="41.140625" bestFit="1" customWidth="1"/>
    <col min="3" max="3" width="14.42578125" customWidth="1"/>
    <col min="4" max="4" width="22" customWidth="1"/>
    <col min="5" max="5" width="22.5703125" bestFit="1" customWidth="1"/>
    <col min="6" max="6" width="20.5703125" bestFit="1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 x14ac:dyDescent="0.25">
      <c r="A1" s="514" t="s">
        <v>1775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</row>
    <row r="2" spans="1:14" ht="15.75" x14ac:dyDescent="0.25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</row>
    <row r="3" spans="1:14" ht="15.75" x14ac:dyDescent="0.25">
      <c r="A3" s="514" t="s">
        <v>2316</v>
      </c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</row>
    <row r="4" spans="1:14" ht="15.75" x14ac:dyDescent="0.25">
      <c r="A4" s="514" t="s">
        <v>2770</v>
      </c>
      <c r="B4" s="514"/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</row>
    <row r="5" spans="1:14" ht="15.75" x14ac:dyDescent="0.25">
      <c r="A5" s="262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</row>
    <row r="6" spans="1:14" ht="15.75" x14ac:dyDescent="0.25">
      <c r="A6" s="514" t="s">
        <v>2805</v>
      </c>
      <c r="B6" s="514"/>
      <c r="C6" s="514"/>
      <c r="D6" s="514"/>
      <c r="E6" s="514"/>
      <c r="F6" s="514"/>
      <c r="G6" s="514"/>
      <c r="H6" s="514"/>
      <c r="I6" s="514"/>
      <c r="J6" s="514"/>
      <c r="K6" s="514"/>
      <c r="L6" s="514"/>
      <c r="M6" s="514"/>
      <c r="N6" s="514"/>
    </row>
    <row r="8" spans="1:14" ht="15.75" thickBot="1" x14ac:dyDescent="0.3"/>
    <row r="9" spans="1:14" ht="15.75" thickBot="1" x14ac:dyDescent="0.3">
      <c r="A9" s="129"/>
      <c r="B9" s="130"/>
      <c r="C9" s="131"/>
      <c r="D9" s="129"/>
      <c r="E9" s="515" t="s">
        <v>2312</v>
      </c>
      <c r="F9" s="516"/>
      <c r="G9" s="132" t="s">
        <v>552</v>
      </c>
      <c r="H9" s="515" t="s">
        <v>132</v>
      </c>
      <c r="I9" s="516"/>
      <c r="J9" s="132" t="s">
        <v>2317</v>
      </c>
      <c r="K9" s="129"/>
      <c r="L9" s="263"/>
    </row>
    <row r="10" spans="1:14" x14ac:dyDescent="0.25">
      <c r="A10" s="133"/>
      <c r="B10" s="134"/>
      <c r="C10" s="135"/>
      <c r="D10" s="135"/>
      <c r="E10" s="131"/>
      <c r="F10" s="131"/>
      <c r="G10" s="131"/>
      <c r="H10" s="131"/>
      <c r="I10" s="131"/>
      <c r="J10" s="131"/>
      <c r="K10" s="133"/>
      <c r="L10" s="264"/>
    </row>
    <row r="11" spans="1:14" x14ac:dyDescent="0.25">
      <c r="A11" s="133"/>
      <c r="B11" s="134"/>
      <c r="C11" s="135"/>
      <c r="D11" s="135"/>
      <c r="E11" s="135"/>
      <c r="F11" s="135"/>
      <c r="G11" s="135"/>
      <c r="H11" s="135"/>
      <c r="I11" s="135"/>
      <c r="J11" s="135"/>
      <c r="K11" s="133"/>
      <c r="L11" s="264"/>
    </row>
    <row r="12" spans="1:14" ht="15.75" thickBot="1" x14ac:dyDescent="0.3">
      <c r="A12" s="136"/>
      <c r="B12" s="265" t="s">
        <v>119</v>
      </c>
      <c r="C12" s="266" t="s">
        <v>1424</v>
      </c>
      <c r="D12" s="266" t="s">
        <v>2318</v>
      </c>
      <c r="E12" s="137" t="s">
        <v>2313</v>
      </c>
      <c r="F12" s="137" t="s">
        <v>2314</v>
      </c>
      <c r="G12" s="137" t="s">
        <v>2313</v>
      </c>
      <c r="H12" s="137" t="s">
        <v>2313</v>
      </c>
      <c r="I12" s="137" t="s">
        <v>2315</v>
      </c>
      <c r="J12" s="137" t="s">
        <v>2315</v>
      </c>
      <c r="K12" s="162" t="s">
        <v>82</v>
      </c>
      <c r="L12" s="138" t="s">
        <v>2335</v>
      </c>
    </row>
    <row r="13" spans="1:14" x14ac:dyDescent="0.25">
      <c r="A13" s="120"/>
      <c r="B13" s="121"/>
      <c r="C13" s="139"/>
      <c r="D13" s="143"/>
      <c r="E13" s="144"/>
      <c r="F13" s="144"/>
      <c r="G13" s="144"/>
      <c r="H13" s="144"/>
      <c r="I13" s="144"/>
      <c r="J13" s="144"/>
      <c r="K13" s="121"/>
      <c r="L13" s="153"/>
    </row>
    <row r="14" spans="1:14" x14ac:dyDescent="0.25">
      <c r="A14" s="124" t="s">
        <v>1425</v>
      </c>
      <c r="B14" s="158" t="s">
        <v>210</v>
      </c>
      <c r="C14" s="140"/>
      <c r="D14" s="284">
        <f>'Allocation ProForma'!N174</f>
        <v>197373813.70709348</v>
      </c>
      <c r="E14" s="278">
        <f>'Allocation ProForma'!N123+'Allocation ProForma'!N124+'Allocation ProForma'!N125</f>
        <v>168604323.98156863</v>
      </c>
      <c r="F14" s="278">
        <f>'Allocation ProForma'!N126</f>
        <v>5433024.5605480233</v>
      </c>
      <c r="G14" s="278">
        <f>'Allocation ProForma'!N135</f>
        <v>22335924.904341906</v>
      </c>
      <c r="H14" s="278">
        <f>'Allocation ProForma'!N145+'Allocation ProForma'!N147+'Allocation ProForma'!N152+'Allocation ProForma'!N141</f>
        <v>0</v>
      </c>
      <c r="I14" s="278">
        <f>'Allocation ProForma'!N146+'Allocation ProForma'!N148+'Allocation ProForma'!N153+'Allocation ProForma'!N157+'Allocation ProForma'!N160+'Allocation ProForma'!N163</f>
        <v>993346.08687017928</v>
      </c>
      <c r="J14" s="278">
        <f>'Allocation ProForma'!N166+'Allocation ProForma'!N169</f>
        <v>7194.1737647277896</v>
      </c>
      <c r="K14" s="285">
        <f>SUM(E14:J14)</f>
        <v>197373813.70709351</v>
      </c>
      <c r="L14" s="154" t="str">
        <f>IF(ABS(K14-D14)&lt;0.01,"ok","err")</f>
        <v>ok</v>
      </c>
    </row>
    <row r="15" spans="1:14" x14ac:dyDescent="0.25">
      <c r="A15" s="125" t="s">
        <v>1663</v>
      </c>
      <c r="B15" s="304" t="s">
        <v>2293</v>
      </c>
      <c r="C15" s="140"/>
      <c r="D15" s="284">
        <f>'Allocation ProForma'!N857+'Allocation ProForma'!N858+'Allocation ProForma'!N859</f>
        <v>-13629760.197839234</v>
      </c>
      <c r="E15" s="279">
        <f t="shared" ref="E15:J15" si="0">(E14/$D$14)*$D$15</f>
        <v>-11643066.83356641</v>
      </c>
      <c r="F15" s="279">
        <f t="shared" si="0"/>
        <v>-375180.58002939174</v>
      </c>
      <c r="G15" s="279">
        <f t="shared" si="0"/>
        <v>-1542419.9113612419</v>
      </c>
      <c r="H15" s="279">
        <f t="shared" si="0"/>
        <v>0</v>
      </c>
      <c r="I15" s="279">
        <f t="shared" si="0"/>
        <v>-68596.075149030468</v>
      </c>
      <c r="J15" s="279">
        <f t="shared" si="0"/>
        <v>-496.79773315998932</v>
      </c>
      <c r="K15" s="285">
        <f>SUM(E15:J15)</f>
        <v>-13629760.197839236</v>
      </c>
      <c r="L15" s="154" t="str">
        <f>IF(ABS(K15-D15)&lt;0.01,"ok","err")</f>
        <v>ok</v>
      </c>
    </row>
    <row r="16" spans="1:14" x14ac:dyDescent="0.25">
      <c r="A16" s="125" t="s">
        <v>2294</v>
      </c>
      <c r="B16" s="305" t="s">
        <v>2295</v>
      </c>
      <c r="C16" s="140"/>
      <c r="D16" s="286">
        <f>D14+D15</f>
        <v>183744053.50925425</v>
      </c>
      <c r="E16" s="276">
        <f t="shared" ref="E16:K16" si="1">E14+E15</f>
        <v>156961257.14800224</v>
      </c>
      <c r="F16" s="276">
        <f t="shared" si="1"/>
        <v>5057843.9805186316</v>
      </c>
      <c r="G16" s="276">
        <f t="shared" si="1"/>
        <v>20793504.992980663</v>
      </c>
      <c r="H16" s="276">
        <f t="shared" si="1"/>
        <v>0</v>
      </c>
      <c r="I16" s="276">
        <f t="shared" si="1"/>
        <v>924750.01172114885</v>
      </c>
      <c r="J16" s="276">
        <f t="shared" si="1"/>
        <v>6697.3760315678001</v>
      </c>
      <c r="K16" s="285">
        <f t="shared" si="1"/>
        <v>183744053.50925428</v>
      </c>
      <c r="L16" s="154" t="str">
        <f>IF(ABS(K16-D16)&lt;0.01,"ok","err")</f>
        <v>ok</v>
      </c>
    </row>
    <row r="17" spans="1:12" x14ac:dyDescent="0.25">
      <c r="A17" s="125"/>
      <c r="B17" s="305"/>
      <c r="C17" s="141"/>
      <c r="D17" s="287"/>
      <c r="E17" s="186"/>
      <c r="F17" s="186"/>
      <c r="G17" s="186"/>
      <c r="H17" s="186"/>
      <c r="I17" s="186"/>
      <c r="J17" s="186"/>
      <c r="K17" s="285"/>
      <c r="L17" s="155"/>
    </row>
    <row r="18" spans="1:12" x14ac:dyDescent="0.25">
      <c r="A18" s="125" t="s">
        <v>2296</v>
      </c>
      <c r="B18" s="158" t="s">
        <v>534</v>
      </c>
      <c r="C18" s="140"/>
      <c r="D18" s="288">
        <f>'Allocation ProForma'!N1092</f>
        <v>7.8218175847241292E-2</v>
      </c>
      <c r="E18" s="280">
        <f t="shared" ref="E18:J18" si="2">D18</f>
        <v>7.8218175847241292E-2</v>
      </c>
      <c r="F18" s="280">
        <f t="shared" si="2"/>
        <v>7.8218175847241292E-2</v>
      </c>
      <c r="G18" s="280">
        <f t="shared" si="2"/>
        <v>7.8218175847241292E-2</v>
      </c>
      <c r="H18" s="280">
        <f t="shared" si="2"/>
        <v>7.8218175847241292E-2</v>
      </c>
      <c r="I18" s="280">
        <f t="shared" si="2"/>
        <v>7.8218175847241292E-2</v>
      </c>
      <c r="J18" s="280">
        <f t="shared" si="2"/>
        <v>7.8218175847241292E-2</v>
      </c>
      <c r="K18" s="285"/>
      <c r="L18" s="154"/>
    </row>
    <row r="19" spans="1:12" x14ac:dyDescent="0.25">
      <c r="A19" s="122"/>
      <c r="B19" s="158"/>
      <c r="C19" s="141"/>
      <c r="D19" s="287"/>
      <c r="E19" s="186"/>
      <c r="F19" s="186"/>
      <c r="G19" s="186"/>
      <c r="H19" s="186"/>
      <c r="I19" s="186"/>
      <c r="J19" s="186"/>
      <c r="K19" s="285"/>
      <c r="L19" s="155"/>
    </row>
    <row r="20" spans="1:12" x14ac:dyDescent="0.25">
      <c r="A20" s="125" t="s">
        <v>2297</v>
      </c>
      <c r="B20" s="158" t="s">
        <v>2298</v>
      </c>
      <c r="C20" s="140"/>
      <c r="D20" s="286">
        <f>D18*D16</f>
        <v>14372124.688271763</v>
      </c>
      <c r="E20" s="276">
        <f t="shared" ref="E20:J20" si="3">E18*E16</f>
        <v>12277223.212806499</v>
      </c>
      <c r="F20" s="276">
        <f t="shared" si="3"/>
        <v>395615.32987611718</v>
      </c>
      <c r="G20" s="276">
        <f t="shared" si="3"/>
        <v>1626430.0300214512</v>
      </c>
      <c r="H20" s="276">
        <f t="shared" si="3"/>
        <v>0</v>
      </c>
      <c r="I20" s="276">
        <f t="shared" si="3"/>
        <v>72332.259031543261</v>
      </c>
      <c r="J20" s="276">
        <f t="shared" si="3"/>
        <v>523.8565361522692</v>
      </c>
      <c r="K20" s="285">
        <f>SUM(E20:J20)</f>
        <v>14372124.688271763</v>
      </c>
      <c r="L20" s="154" t="str">
        <f>IF(ABS(K20-D20)&lt;0.01,"ok","err")</f>
        <v>ok</v>
      </c>
    </row>
    <row r="21" spans="1:12" x14ac:dyDescent="0.25">
      <c r="A21" s="122"/>
      <c r="B21" s="158"/>
      <c r="C21" s="141"/>
      <c r="D21" s="287"/>
      <c r="E21" s="186"/>
      <c r="F21" s="186"/>
      <c r="G21" s="186"/>
      <c r="H21" s="186"/>
      <c r="I21" s="186"/>
      <c r="J21" s="186"/>
      <c r="K21" s="285"/>
      <c r="L21" s="155"/>
    </row>
    <row r="22" spans="1:12" x14ac:dyDescent="0.25">
      <c r="A22" s="125" t="s">
        <v>1664</v>
      </c>
      <c r="B22" s="158" t="s">
        <v>2299</v>
      </c>
      <c r="C22" s="140"/>
      <c r="D22" s="286">
        <f>'Allocation ProForma'!N706</f>
        <v>3340544.0610360652</v>
      </c>
      <c r="E22" s="276">
        <f t="shared" ref="E22:J22" si="4">(E14/$D$14)*$D$22</f>
        <v>2853621.5750356535</v>
      </c>
      <c r="F22" s="276">
        <f t="shared" si="4"/>
        <v>91953.727742909323</v>
      </c>
      <c r="G22" s="276">
        <f t="shared" si="4"/>
        <v>378034.65356187377</v>
      </c>
      <c r="H22" s="276">
        <f t="shared" si="4"/>
        <v>0</v>
      </c>
      <c r="I22" s="276">
        <f t="shared" si="4"/>
        <v>16812.343586632203</v>
      </c>
      <c r="J22" s="276">
        <f t="shared" si="4"/>
        <v>121.76110899639154</v>
      </c>
      <c r="K22" s="285">
        <f>SUM(E22:J22)</f>
        <v>3340544.0610360652</v>
      </c>
      <c r="L22" s="154" t="str">
        <f>IF(ABS(K22-D22)&lt;0.01,"ok","err")</f>
        <v>ok</v>
      </c>
    </row>
    <row r="23" spans="1:12" x14ac:dyDescent="0.25">
      <c r="A23" s="122"/>
      <c r="B23" s="158"/>
      <c r="C23" s="141"/>
      <c r="D23" s="287"/>
      <c r="E23" s="186"/>
      <c r="F23" s="186"/>
      <c r="G23" s="186"/>
      <c r="H23" s="186"/>
      <c r="I23" s="186"/>
      <c r="J23" s="186"/>
      <c r="K23" s="285"/>
      <c r="L23" s="155"/>
    </row>
    <row r="24" spans="1:12" x14ac:dyDescent="0.25">
      <c r="A24" s="125" t="s">
        <v>1665</v>
      </c>
      <c r="B24" s="158" t="s">
        <v>248</v>
      </c>
      <c r="C24" s="140"/>
      <c r="D24" s="286">
        <f>D20-D22</f>
        <v>11031580.627235698</v>
      </c>
      <c r="E24" s="276">
        <f t="shared" ref="E24:J24" si="5">E20-E22</f>
        <v>9423601.6377708446</v>
      </c>
      <c r="F24" s="276">
        <f t="shared" si="5"/>
        <v>303661.60213320784</v>
      </c>
      <c r="G24" s="276">
        <f t="shared" si="5"/>
        <v>1248395.3764595774</v>
      </c>
      <c r="H24" s="276">
        <f t="shared" si="5"/>
        <v>0</v>
      </c>
      <c r="I24" s="276">
        <f t="shared" si="5"/>
        <v>55519.915444911057</v>
      </c>
      <c r="J24" s="276">
        <f t="shared" si="5"/>
        <v>402.09542715587764</v>
      </c>
      <c r="K24" s="285">
        <f>SUM(E24:J24)</f>
        <v>11031580.627235696</v>
      </c>
      <c r="L24" s="154" t="str">
        <f>IF(ABS(K24-D24)&lt;0.01,"ok","err")</f>
        <v>ok</v>
      </c>
    </row>
    <row r="25" spans="1:12" x14ac:dyDescent="0.25">
      <c r="A25" s="122"/>
      <c r="B25" s="158"/>
      <c r="C25" s="141"/>
      <c r="D25" s="287"/>
      <c r="E25" s="186"/>
      <c r="F25" s="186"/>
      <c r="G25" s="186"/>
      <c r="H25" s="186"/>
      <c r="I25" s="186"/>
      <c r="J25" s="186"/>
      <c r="K25" s="285"/>
      <c r="L25" s="155"/>
    </row>
    <row r="26" spans="1:12" x14ac:dyDescent="0.25">
      <c r="A26" s="125" t="s">
        <v>1666</v>
      </c>
      <c r="B26" s="158" t="s">
        <v>660</v>
      </c>
      <c r="C26" s="141"/>
      <c r="D26" s="286">
        <f>'Allocation ProForma'!N820+'Allocation ProForma'!N1084</f>
        <v>7678508.363876285</v>
      </c>
      <c r="E26" s="276">
        <f t="shared" ref="E26:J26" si="6">$D$26*(E24/$K$24)</f>
        <v>6559277.9891228992</v>
      </c>
      <c r="F26" s="276">
        <f t="shared" si="6"/>
        <v>211363.01592278539</v>
      </c>
      <c r="G26" s="276">
        <f t="shared" si="6"/>
        <v>868942.96143773652</v>
      </c>
      <c r="H26" s="276">
        <f t="shared" si="6"/>
        <v>0</v>
      </c>
      <c r="I26" s="276">
        <f t="shared" si="6"/>
        <v>38644.51972122139</v>
      </c>
      <c r="J26" s="276">
        <f t="shared" si="6"/>
        <v>279.87767164300567</v>
      </c>
      <c r="K26" s="285">
        <f>SUM(E26:J26)</f>
        <v>7678508.363876286</v>
      </c>
      <c r="L26" s="154" t="str">
        <f>IF(ABS(K26-D26)&lt;0.01,"ok","err")</f>
        <v>ok</v>
      </c>
    </row>
    <row r="27" spans="1:12" x14ac:dyDescent="0.25">
      <c r="A27" s="122"/>
      <c r="B27" s="158"/>
      <c r="C27" s="141"/>
      <c r="D27" s="287"/>
      <c r="E27" s="186"/>
      <c r="F27" s="186"/>
      <c r="G27" s="186"/>
      <c r="H27" s="186"/>
      <c r="I27" s="186"/>
      <c r="J27" s="186"/>
      <c r="K27" s="285"/>
      <c r="L27" s="155"/>
    </row>
    <row r="28" spans="1:12" x14ac:dyDescent="0.25">
      <c r="A28" s="125" t="s">
        <v>1667</v>
      </c>
      <c r="B28" s="158" t="s">
        <v>945</v>
      </c>
      <c r="C28" s="140"/>
      <c r="D28" s="286">
        <f>'Allocation ProForma'!N672</f>
        <v>59296646.123915702</v>
      </c>
      <c r="E28" s="276">
        <f>'Allocation ProForma'!N180+'Allocation ProForma'!N181+'Allocation ProForma'!N182</f>
        <v>6602507.3381658867</v>
      </c>
      <c r="F28" s="276">
        <f>'Allocation ProForma'!N183</f>
        <v>50237389.303680383</v>
      </c>
      <c r="G28" s="276">
        <f>'Allocation ProForma'!N192</f>
        <v>2167059.39330129</v>
      </c>
      <c r="H28" s="276">
        <f>'Allocation ProForma'!N198+'Allocation ProForma'!N202+'Allocation ProForma'!N204+'Allocation ProForma'!N209</f>
        <v>0</v>
      </c>
      <c r="I28" s="276">
        <f>'Allocation ProForma'!N203+'Allocation ProForma'!N205+'Allocation ProForma'!N210+'Allocation ProForma'!N214+'Allocation ProForma'!N217</f>
        <v>230530.96670072246</v>
      </c>
      <c r="J28" s="276">
        <f>'Allocation ProForma'!N223+'Allocation ProForma'!N226</f>
        <v>59159.122067418153</v>
      </c>
      <c r="K28" s="285">
        <f>SUM(E28:J28)</f>
        <v>59296646.12391571</v>
      </c>
      <c r="L28" s="154" t="str">
        <f>IF(ABS(K28-D28)&lt;0.01,"ok","err")</f>
        <v>ok</v>
      </c>
    </row>
    <row r="29" spans="1:12" x14ac:dyDescent="0.25">
      <c r="A29" s="125" t="s">
        <v>2300</v>
      </c>
      <c r="B29" s="158" t="s">
        <v>1040</v>
      </c>
      <c r="C29" s="140"/>
      <c r="D29" s="286">
        <f>'Allocation ProForma'!N673</f>
        <v>9654543.188335469</v>
      </c>
      <c r="E29" s="276">
        <f>'Allocation ProForma'!N300</f>
        <v>8847461.0914096218</v>
      </c>
      <c r="F29" s="276">
        <v>0</v>
      </c>
      <c r="G29" s="276">
        <f>'Allocation ProForma'!N306</f>
        <v>764009.39041060081</v>
      </c>
      <c r="H29" s="276">
        <f>'Allocation ProForma'!N312+'Allocation ProForma'!N316+'Allocation ProForma'!N318+'Allocation ProForma'!N323</f>
        <v>0</v>
      </c>
      <c r="I29" s="276">
        <f>'Allocation ProForma'!N317+'Allocation ProForma'!N319+'Allocation ProForma'!N324+'Allocation ProForma'!N328+'Allocation ProForma'!N331</f>
        <v>43072.70651524781</v>
      </c>
      <c r="J29" s="276">
        <v>0</v>
      </c>
      <c r="K29" s="285">
        <f>SUM(E29:J29)</f>
        <v>9654543.188335469</v>
      </c>
      <c r="L29" s="154" t="str">
        <f>IF(ABS(K29-D29)&lt;0.01,"ok","err")</f>
        <v>ok</v>
      </c>
    </row>
    <row r="30" spans="1:12" x14ac:dyDescent="0.25">
      <c r="A30" s="125" t="s">
        <v>2301</v>
      </c>
      <c r="B30" s="158" t="s">
        <v>521</v>
      </c>
      <c r="C30" s="140"/>
      <c r="D30" s="286">
        <f>'Allocation ProForma'!N675+'Allocation ProForma'!N676+'Allocation ProForma'!N677+'Allocation ProForma'!N674</f>
        <v>1248488.0410750143</v>
      </c>
      <c r="E30" s="276">
        <f>'Allocation ProForma'!N414+'Allocation ProForma'!N471+'Allocation ProForma'!N357</f>
        <v>1054703.0895967528</v>
      </c>
      <c r="F30" s="276">
        <f>'Allocation ProForma'!N529</f>
        <v>-62.99051401336083</v>
      </c>
      <c r="G30" s="276">
        <f>'Allocation ProForma'!N420+'Allocation ProForma'!N477+'Allocation ProForma'!N363</f>
        <v>186448.68037816999</v>
      </c>
      <c r="H30" s="276">
        <f>'Allocation ProForma'!N426+'Allocation ProForma'!N430+'Allocation ProForma'!N432+'Allocation ProForma'!N437+'Allocation ProForma'!N483+'Allocation ProForma'!N487+'Allocation ProForma'!N489+'Allocation ProForma'!N494+'Allocation ProForma'!N369+'Allocation ProForma'!N373+'Allocation ProForma'!N375+'Allocation ProForma'!N380</f>
        <v>0</v>
      </c>
      <c r="I30" s="276">
        <f>'Allocation ProForma'!N431+'Allocation ProForma'!N433+'Allocation ProForma'!N438+'Allocation ProForma'!N442+'Allocation ProForma'!N445+'Allocation ProForma'!N488+'Allocation ProForma'!N490+'Allocation ProForma'!N495+'Allocation ProForma'!N499+'Allocation ProForma'!N502+'Allocation ProForma'!N374+'Allocation ProForma'!N376+'Allocation ProForma'!N381+'Allocation ProForma'!N385+'Allocation ProForma'!N388</f>
        <v>7399.2616141046865</v>
      </c>
      <c r="J30" s="276">
        <v>0</v>
      </c>
      <c r="K30" s="285">
        <f>SUM(E30:J30)</f>
        <v>1248488.041075014</v>
      </c>
      <c r="L30" s="154" t="str">
        <f>IF(ABS(K30-D30)&lt;0.01,"ok","err")</f>
        <v>ok</v>
      </c>
    </row>
    <row r="31" spans="1:12" x14ac:dyDescent="0.25">
      <c r="A31" s="125" t="s">
        <v>2302</v>
      </c>
      <c r="B31" s="158" t="s">
        <v>2338</v>
      </c>
      <c r="C31" s="140"/>
      <c r="D31" s="286">
        <f>'Allocation ProForma'!N680+'Allocation ProForma'!N679</f>
        <v>385939.89213795669</v>
      </c>
      <c r="E31" s="276">
        <f>D31</f>
        <v>385939.89213795669</v>
      </c>
      <c r="F31" s="276"/>
      <c r="G31" s="276"/>
      <c r="H31" s="276"/>
      <c r="I31" s="276"/>
      <c r="J31" s="276"/>
      <c r="K31" s="285">
        <f>SUM(E31:J31)</f>
        <v>385939.89213795669</v>
      </c>
      <c r="L31" s="154" t="str">
        <f>IF(ABS(K31-D31)&lt;0.01,"ok","err")</f>
        <v>ok</v>
      </c>
    </row>
    <row r="32" spans="1:12" x14ac:dyDescent="0.25">
      <c r="A32" s="125" t="s">
        <v>2303</v>
      </c>
      <c r="B32" s="158" t="s">
        <v>2320</v>
      </c>
      <c r="C32" s="140"/>
      <c r="D32" s="286">
        <f>'Allocation ProForma'!N826</f>
        <v>-436180.26069384028</v>
      </c>
      <c r="E32" s="276">
        <f>D32</f>
        <v>-436180.26069384028</v>
      </c>
      <c r="F32" s="276">
        <v>0</v>
      </c>
      <c r="G32" s="276">
        <v>0</v>
      </c>
      <c r="H32" s="276">
        <v>0</v>
      </c>
      <c r="I32" s="276">
        <v>0</v>
      </c>
      <c r="J32" s="276">
        <v>0</v>
      </c>
      <c r="K32" s="285">
        <f>SUM(E32:J32)</f>
        <v>-436180.26069384028</v>
      </c>
      <c r="L32" s="154" t="str">
        <f t="shared" ref="L32:L38" si="7">IF(ABS(K32-D32)&lt;0.01,"ok","err")</f>
        <v>ok</v>
      </c>
    </row>
    <row r="33" spans="1:12" x14ac:dyDescent="0.25">
      <c r="A33" s="125" t="s">
        <v>2305</v>
      </c>
      <c r="B33" s="158" t="s">
        <v>2319</v>
      </c>
      <c r="C33" s="140"/>
      <c r="D33" s="286">
        <f>'Allocation ProForma'!N825+'Allocation ProForma'!N828+'Allocation ProForma'!N829</f>
        <v>-1296679.7169216459</v>
      </c>
      <c r="E33" s="276">
        <v>0</v>
      </c>
      <c r="F33" s="276">
        <f>D33</f>
        <v>-1296679.7169216459</v>
      </c>
      <c r="G33" s="276">
        <v>0</v>
      </c>
      <c r="H33" s="276">
        <v>0</v>
      </c>
      <c r="I33" s="276">
        <v>0</v>
      </c>
      <c r="J33" s="276">
        <v>0</v>
      </c>
      <c r="K33" s="285">
        <f t="shared" ref="K33:K38" si="8">SUM(E33:J33)</f>
        <v>-1296679.7169216459</v>
      </c>
      <c r="L33" s="154" t="str">
        <f t="shared" si="7"/>
        <v>ok</v>
      </c>
    </row>
    <row r="34" spans="1:12" x14ac:dyDescent="0.25">
      <c r="A34" s="125" t="s">
        <v>2306</v>
      </c>
      <c r="B34" s="158" t="s">
        <v>2323</v>
      </c>
      <c r="C34" s="140"/>
      <c r="D34" s="286">
        <f>'Allocation ProForma'!N839+'Allocation ProForma'!N842</f>
        <v>-352450.77147024806</v>
      </c>
      <c r="E34" s="276">
        <v>0</v>
      </c>
      <c r="F34" s="276">
        <v>0</v>
      </c>
      <c r="G34" s="276">
        <f>D34</f>
        <v>-352450.77147024806</v>
      </c>
      <c r="H34" s="276">
        <v>0</v>
      </c>
      <c r="I34" s="276">
        <v>0</v>
      </c>
      <c r="J34" s="276">
        <v>0</v>
      </c>
      <c r="K34" s="285">
        <f t="shared" si="8"/>
        <v>-352450.77147024806</v>
      </c>
      <c r="L34" s="154" t="str">
        <f t="shared" si="7"/>
        <v>ok</v>
      </c>
    </row>
    <row r="35" spans="1:12" x14ac:dyDescent="0.25">
      <c r="A35" s="125" t="s">
        <v>2308</v>
      </c>
      <c r="B35" s="158" t="s">
        <v>2321</v>
      </c>
      <c r="C35" s="140"/>
      <c r="D35" s="286">
        <f>'Allocation ProForma'!N830+'Allocation ProForma'!N837</f>
        <v>0</v>
      </c>
      <c r="E35" s="276">
        <v>0</v>
      </c>
      <c r="F35" s="276">
        <v>0</v>
      </c>
      <c r="G35" s="276">
        <v>0</v>
      </c>
      <c r="H35" s="276">
        <f>(H14/($I$14+$H$14)*$D$35)</f>
        <v>0</v>
      </c>
      <c r="I35" s="276">
        <f>(I14/($I$14+$H$14)*$D$35)</f>
        <v>0</v>
      </c>
      <c r="J35" s="276">
        <v>0</v>
      </c>
      <c r="K35" s="285">
        <f t="shared" si="8"/>
        <v>0</v>
      </c>
      <c r="L35" s="154" t="str">
        <f t="shared" si="7"/>
        <v>ok</v>
      </c>
    </row>
    <row r="36" spans="1:12" x14ac:dyDescent="0.25">
      <c r="A36" s="159" t="s">
        <v>2310</v>
      </c>
      <c r="B36" s="158" t="s">
        <v>2322</v>
      </c>
      <c r="C36" s="140"/>
      <c r="D36" s="286">
        <f>'Allocation ProForma'!N831+'Allocation ProForma'!N832+'Allocation ProForma'!N833+'Allocation ProForma'!N834+'Allocation ProForma'!N835+'Allocation ProForma'!N836+'Allocation ProForma'!N838+'Allocation ProForma'!N840+'Allocation ProForma'!N841+'Allocation ProForma'!N843+'Allocation ProForma'!N844+'Allocation ProForma'!N845+'Allocation ProForma'!N846+'Allocation ProForma'!N847</f>
        <v>-911082.36093074176</v>
      </c>
      <c r="E36" s="276">
        <f t="shared" ref="E36:J36" si="9">(E14/($D$14)*$D$36)</f>
        <v>-778281.69133025431</v>
      </c>
      <c r="F36" s="276">
        <f t="shared" si="9"/>
        <v>-25078.974513633275</v>
      </c>
      <c r="G36" s="276">
        <f t="shared" si="9"/>
        <v>-103103.17672444212</v>
      </c>
      <c r="H36" s="276">
        <f t="shared" si="9"/>
        <v>0</v>
      </c>
      <c r="I36" s="276">
        <f t="shared" si="9"/>
        <v>-4585.3098800130792</v>
      </c>
      <c r="J36" s="276">
        <f t="shared" si="9"/>
        <v>-33.208482398993304</v>
      </c>
      <c r="K36" s="285">
        <f t="shared" si="8"/>
        <v>-911082.36093074188</v>
      </c>
      <c r="L36" s="154" t="str">
        <f t="shared" si="7"/>
        <v>ok</v>
      </c>
    </row>
    <row r="37" spans="1:12" x14ac:dyDescent="0.25">
      <c r="A37" s="125"/>
      <c r="B37" s="158"/>
      <c r="D37" s="286"/>
      <c r="E37" s="276"/>
      <c r="F37" s="276"/>
      <c r="G37" s="276"/>
      <c r="H37" s="276"/>
      <c r="I37" s="276"/>
      <c r="J37" s="276"/>
      <c r="K37" s="285"/>
      <c r="L37" s="154"/>
    </row>
    <row r="38" spans="1:12" x14ac:dyDescent="0.25">
      <c r="A38" s="125" t="s">
        <v>2324</v>
      </c>
      <c r="B38" s="158" t="s">
        <v>2329</v>
      </c>
      <c r="C38" s="140"/>
      <c r="D38" s="286">
        <f>'Allocation ProForma'!N848</f>
        <v>-2996393.1100164759</v>
      </c>
      <c r="E38" s="276">
        <f>SUM(E32:E36)</f>
        <v>-1214461.9520240945</v>
      </c>
      <c r="F38" s="276">
        <f>SUM(F33:F36)</f>
        <v>-1321758.6914352791</v>
      </c>
      <c r="G38" s="276">
        <f>SUM(G32:G36)</f>
        <v>-455553.94819469017</v>
      </c>
      <c r="H38" s="276">
        <f>SUM(H32:H36)</f>
        <v>0</v>
      </c>
      <c r="I38" s="276">
        <f>SUM(I32:I36)</f>
        <v>-4585.3098800130792</v>
      </c>
      <c r="J38" s="276">
        <f>SUM(J32:J36)</f>
        <v>-33.208482398993304</v>
      </c>
      <c r="K38" s="285">
        <f t="shared" si="8"/>
        <v>-2996393.1100164759</v>
      </c>
      <c r="L38" s="154" t="str">
        <f t="shared" si="7"/>
        <v>ok</v>
      </c>
    </row>
    <row r="39" spans="1:12" x14ac:dyDescent="0.25">
      <c r="A39" s="122"/>
      <c r="B39" s="158"/>
      <c r="C39" s="141"/>
      <c r="D39" s="289"/>
      <c r="E39" s="186"/>
      <c r="F39" s="186"/>
      <c r="G39" s="186"/>
      <c r="H39" s="186"/>
      <c r="I39" s="186"/>
      <c r="J39" s="186"/>
      <c r="K39" s="158"/>
      <c r="L39" s="155"/>
    </row>
    <row r="40" spans="1:12" x14ac:dyDescent="0.25">
      <c r="A40" s="125" t="s">
        <v>2325</v>
      </c>
      <c r="B40" s="158" t="s">
        <v>2304</v>
      </c>
      <c r="C40" s="157">
        <f>'Allocation ProForma'!N1028</f>
        <v>89302832.239636675</v>
      </c>
      <c r="D40" s="286">
        <f>SUM(D28:D31)+D22+D26+D38+D24</f>
        <v>89639857.18759571</v>
      </c>
      <c r="E40" s="276">
        <f t="shared" ref="E40:J40" si="10">SUM(E28:E31)+E22+E26+E38+E24</f>
        <v>34512650.661215521</v>
      </c>
      <c r="F40" s="276">
        <f t="shared" si="10"/>
        <v>49522545.967529997</v>
      </c>
      <c r="G40" s="276">
        <f t="shared" si="10"/>
        <v>5157336.5073545575</v>
      </c>
      <c r="H40" s="276">
        <f t="shared" si="10"/>
        <v>0</v>
      </c>
      <c r="I40" s="276">
        <f t="shared" si="10"/>
        <v>387394.40370282659</v>
      </c>
      <c r="J40" s="276">
        <f t="shared" si="10"/>
        <v>59929.647792814438</v>
      </c>
      <c r="K40" s="285">
        <f>SUM(E40:J40)</f>
        <v>89639857.187595725</v>
      </c>
      <c r="L40" s="154" t="str">
        <f>IF(ABS(K40-D40)&lt;0.01,"ok","err")</f>
        <v>ok</v>
      </c>
    </row>
    <row r="41" spans="1:12" x14ac:dyDescent="0.25">
      <c r="A41" s="122"/>
      <c r="B41" s="158"/>
      <c r="C41" s="141"/>
      <c r="D41" s="290"/>
      <c r="E41" s="186"/>
      <c r="F41" s="186"/>
      <c r="G41" s="186"/>
      <c r="H41" s="186"/>
      <c r="I41" s="186"/>
      <c r="J41" s="186"/>
      <c r="K41" s="158"/>
      <c r="L41" s="155"/>
    </row>
    <row r="42" spans="1:12" x14ac:dyDescent="0.25">
      <c r="A42" s="125" t="s">
        <v>2326</v>
      </c>
      <c r="B42" s="158" t="s">
        <v>2347</v>
      </c>
      <c r="C42" s="140"/>
      <c r="D42" s="286">
        <f>-'Allocation ProForma'!N661</f>
        <v>-764055.31146547489</v>
      </c>
      <c r="E42" s="276"/>
      <c r="F42" s="276">
        <v>0</v>
      </c>
      <c r="G42" s="276">
        <f>D42</f>
        <v>-764055.31146547489</v>
      </c>
      <c r="H42" s="276">
        <v>0</v>
      </c>
      <c r="I42" s="276">
        <v>0</v>
      </c>
      <c r="J42" s="276">
        <v>0</v>
      </c>
      <c r="K42" s="285">
        <f>SUM(E42:J42)</f>
        <v>-764055.31146547489</v>
      </c>
      <c r="L42" s="154" t="str">
        <f>IF(ABS(K42-D42)&lt;0.01,"ok","err")</f>
        <v>ok</v>
      </c>
    </row>
    <row r="43" spans="1:12" x14ac:dyDescent="0.25">
      <c r="A43" s="125" t="s">
        <v>2327</v>
      </c>
      <c r="B43" s="158" t="s">
        <v>2330</v>
      </c>
      <c r="C43" s="140"/>
      <c r="D43" s="286">
        <f>-('Allocation ProForma'!N654+'Allocation ProForma'!N655+'Allocation ProForma'!N656)</f>
        <v>-2305605.2146203779</v>
      </c>
      <c r="E43" s="276">
        <v>0</v>
      </c>
      <c r="F43" s="276">
        <f>D43</f>
        <v>-2305605.2146203779</v>
      </c>
      <c r="G43" s="276">
        <v>0</v>
      </c>
      <c r="H43" s="276">
        <v>0</v>
      </c>
      <c r="I43" s="276">
        <v>0</v>
      </c>
      <c r="J43" s="276">
        <v>0</v>
      </c>
      <c r="K43" s="285">
        <f>SUM(E43:J43)</f>
        <v>-2305605.2146203779</v>
      </c>
      <c r="L43" s="154" t="str">
        <f>IF(ABS(K43-D43)&lt;0.01,"ok","err")</f>
        <v>ok</v>
      </c>
    </row>
    <row r="44" spans="1:12" x14ac:dyDescent="0.25">
      <c r="A44" s="125" t="s">
        <v>2328</v>
      </c>
      <c r="B44" s="158" t="s">
        <v>2331</v>
      </c>
      <c r="C44" s="140"/>
      <c r="D44" s="286">
        <f>-('Allocation ProForma'!N652+'Allocation ProForma'!N653+'Allocation ProForma'!N657+'Allocation ProForma'!N658+'Allocation ProForma'!N659+'Allocation ProForma'!N660+'Allocation ProForma'!N662+'Allocation ProForma'!N663+'Allocation ProForma'!N664+'Allocation ProForma'!N665+'Allocation ProForma'!N666)</f>
        <v>-162206.85041146129</v>
      </c>
      <c r="E44" s="276">
        <f t="shared" ref="E44:J44" si="11">(E14/($D$14)*$D$44)</f>
        <v>-138563.3476150487</v>
      </c>
      <c r="F44" s="276">
        <f t="shared" si="11"/>
        <v>-4464.9986014985534</v>
      </c>
      <c r="G44" s="276">
        <f t="shared" si="11"/>
        <v>-18356.234607377457</v>
      </c>
      <c r="H44" s="276">
        <f t="shared" si="11"/>
        <v>0</v>
      </c>
      <c r="I44" s="276">
        <f t="shared" si="11"/>
        <v>-816.35723145562747</v>
      </c>
      <c r="J44" s="276">
        <f t="shared" si="11"/>
        <v>-5.9123560809390225</v>
      </c>
      <c r="K44" s="285">
        <f>SUM(E44:J44)</f>
        <v>-162206.85041146129</v>
      </c>
      <c r="L44" s="154" t="str">
        <f>IF(ABS(K44-D44)&lt;0.01,"ok","err")</f>
        <v>ok</v>
      </c>
    </row>
    <row r="45" spans="1:12" x14ac:dyDescent="0.25">
      <c r="A45" s="125" t="s">
        <v>2332</v>
      </c>
      <c r="B45" s="158" t="s">
        <v>2334</v>
      </c>
      <c r="C45" s="140"/>
      <c r="D45" s="286">
        <f>SUM(D42:D44)</f>
        <v>-3231867.3764973138</v>
      </c>
      <c r="E45" s="276">
        <f t="shared" ref="E45:J45" si="12">SUM(E42:E44)</f>
        <v>-138563.3476150487</v>
      </c>
      <c r="F45" s="276">
        <f t="shared" si="12"/>
        <v>-2310070.2132218764</v>
      </c>
      <c r="G45" s="276">
        <f t="shared" si="12"/>
        <v>-782411.54607285233</v>
      </c>
      <c r="H45" s="276">
        <f t="shared" si="12"/>
        <v>0</v>
      </c>
      <c r="I45" s="276">
        <f t="shared" si="12"/>
        <v>-816.35723145562747</v>
      </c>
      <c r="J45" s="276">
        <f t="shared" si="12"/>
        <v>-5.9123560809390225</v>
      </c>
      <c r="K45" s="285">
        <f>SUM(E45:J45)</f>
        <v>-3231867.3764973143</v>
      </c>
      <c r="L45" s="154" t="str">
        <f>IF(ABS(K45-D45)&lt;0.01,"ok","err")</f>
        <v>ok</v>
      </c>
    </row>
    <row r="46" spans="1:12" x14ac:dyDescent="0.25">
      <c r="A46" s="122"/>
      <c r="B46" s="158"/>
      <c r="D46" s="287"/>
      <c r="E46" s="186"/>
      <c r="F46" s="186"/>
      <c r="G46" s="186"/>
      <c r="H46" s="186"/>
      <c r="I46" s="186"/>
      <c r="J46" s="186"/>
      <c r="K46" s="158"/>
      <c r="L46" s="155"/>
    </row>
    <row r="47" spans="1:12" x14ac:dyDescent="0.25">
      <c r="A47" s="125" t="s">
        <v>2333</v>
      </c>
      <c r="B47" s="158" t="s">
        <v>2307</v>
      </c>
      <c r="C47" s="39">
        <f>'Allocation ProForma'!N1028-SUM('Allocation ProForma'!N652:N666)</f>
        <v>86070964.863139361</v>
      </c>
      <c r="D47" s="286">
        <f>D40+D45</f>
        <v>86407989.811098397</v>
      </c>
      <c r="E47" s="276">
        <f t="shared" ref="E47:J47" si="13">E40+E45</f>
        <v>34374087.313600473</v>
      </c>
      <c r="F47" s="276">
        <f t="shared" si="13"/>
        <v>47212475.754308119</v>
      </c>
      <c r="G47" s="276">
        <f t="shared" si="13"/>
        <v>4374924.9612817056</v>
      </c>
      <c r="H47" s="276">
        <f t="shared" si="13"/>
        <v>0</v>
      </c>
      <c r="I47" s="276">
        <f t="shared" si="13"/>
        <v>386578.04647137097</v>
      </c>
      <c r="J47" s="276">
        <f t="shared" si="13"/>
        <v>59923.735436733499</v>
      </c>
      <c r="K47" s="285">
        <f>SUM(E47:J47)</f>
        <v>86407989.811098397</v>
      </c>
      <c r="L47" s="154" t="str">
        <f>IF(ABS(K47-D47)&lt;0.01,"ok","err")</f>
        <v>ok</v>
      </c>
    </row>
    <row r="48" spans="1:12" x14ac:dyDescent="0.25">
      <c r="A48" s="122"/>
      <c r="B48" s="158"/>
      <c r="C48" s="141"/>
      <c r="D48" s="289"/>
      <c r="E48" s="186"/>
      <c r="F48" s="186"/>
      <c r="G48" s="186"/>
      <c r="H48" s="186"/>
      <c r="I48" s="186"/>
      <c r="J48" s="186"/>
      <c r="K48" s="158"/>
      <c r="L48" s="155"/>
    </row>
    <row r="49" spans="1:12" x14ac:dyDescent="0.25">
      <c r="A49" s="125" t="s">
        <v>2339</v>
      </c>
      <c r="B49" s="158" t="s">
        <v>2309</v>
      </c>
      <c r="C49" s="140"/>
      <c r="D49" s="291"/>
      <c r="E49" s="281">
        <v>3454546.822222224</v>
      </c>
      <c r="F49" s="281">
        <f>'Allocation ProForma'!$N$1121</f>
        <v>1548306282</v>
      </c>
      <c r="G49" s="281">
        <f>E49</f>
        <v>3454546.822222224</v>
      </c>
      <c r="H49" s="281">
        <f>E49</f>
        <v>3454546.822222224</v>
      </c>
      <c r="I49" s="281">
        <f>'Allocation ProForma'!$N$1136*12</f>
        <v>420</v>
      </c>
      <c r="J49" s="281">
        <f>'Allocation ProForma'!$N$1136*12</f>
        <v>420</v>
      </c>
      <c r="K49" s="158"/>
      <c r="L49" s="155"/>
    </row>
    <row r="50" spans="1:12" ht="15.75" thickBot="1" x14ac:dyDescent="0.3">
      <c r="A50" s="122"/>
      <c r="B50" s="158"/>
      <c r="C50" s="141"/>
      <c r="D50" s="287"/>
      <c r="E50" s="313"/>
      <c r="F50" s="313"/>
      <c r="G50" s="313"/>
      <c r="H50" s="313"/>
      <c r="I50" s="313"/>
      <c r="J50" s="313"/>
      <c r="K50" s="158"/>
      <c r="L50" s="155"/>
    </row>
    <row r="51" spans="1:12" ht="15.75" thickBot="1" x14ac:dyDescent="0.3">
      <c r="A51" s="127" t="s">
        <v>2340</v>
      </c>
      <c r="B51" s="306" t="s">
        <v>2311</v>
      </c>
      <c r="C51" s="142"/>
      <c r="D51" s="292"/>
      <c r="E51" s="297">
        <f t="shared" ref="E51:J51" si="14">E47/E49</f>
        <v>9.9503897566189234</v>
      </c>
      <c r="F51" s="308">
        <f t="shared" si="14"/>
        <v>3.049298210772752E-2</v>
      </c>
      <c r="G51" s="297">
        <f t="shared" si="14"/>
        <v>1.2664251453009472</v>
      </c>
      <c r="H51" s="297">
        <f t="shared" si="14"/>
        <v>0</v>
      </c>
      <c r="I51" s="297">
        <f>I47/I49</f>
        <v>920.42392016993085</v>
      </c>
      <c r="J51" s="297">
        <f t="shared" si="14"/>
        <v>142.67556056365117</v>
      </c>
      <c r="K51" s="293">
        <f>I51+J51</f>
        <v>1063.0994807335819</v>
      </c>
      <c r="L51" s="156"/>
    </row>
    <row r="53" spans="1:12" x14ac:dyDescent="0.25">
      <c r="J53" s="163" t="s">
        <v>2349</v>
      </c>
      <c r="K53" s="314">
        <f>I51+J51</f>
        <v>1063.0994807335819</v>
      </c>
    </row>
    <row r="54" spans="1:12" x14ac:dyDescent="0.25">
      <c r="J54" s="163" t="s">
        <v>2348</v>
      </c>
      <c r="K54" s="311">
        <f>F51</f>
        <v>3.049298210772752E-2</v>
      </c>
    </row>
    <row r="55" spans="1:12" x14ac:dyDescent="0.25">
      <c r="J55" s="163" t="s">
        <v>2802</v>
      </c>
      <c r="K55" s="314">
        <f>E51+G51+H51</f>
        <v>11.216814901919872</v>
      </c>
    </row>
    <row r="57" spans="1:12" x14ac:dyDescent="0.25">
      <c r="J57" s="163" t="s">
        <v>1754</v>
      </c>
      <c r="K57" s="268">
        <f>K53</f>
        <v>1063.0994807335819</v>
      </c>
    </row>
    <row r="58" spans="1:12" ht="15.75" thickBot="1" x14ac:dyDescent="0.3">
      <c r="J58" s="163" t="s">
        <v>2800</v>
      </c>
      <c r="K58" s="269">
        <f>((I47+J47)*D18)/J49</f>
        <v>83.153702127130231</v>
      </c>
    </row>
    <row r="59" spans="1:12" ht="15.75" thickBot="1" x14ac:dyDescent="0.3">
      <c r="K59" s="270">
        <f>SUM(K57:K58)</f>
        <v>1146.2531828607121</v>
      </c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0.75" bottom="0.75" header="0.3" footer="0.3"/>
  <pageSetup scale="4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N59"/>
  <sheetViews>
    <sheetView view="pageBreakPreview" zoomScale="60" zoomScaleNormal="100" workbookViewId="0">
      <selection activeCell="D26" sqref="D26"/>
    </sheetView>
  </sheetViews>
  <sheetFormatPr defaultRowHeight="15" x14ac:dyDescent="0.25"/>
  <cols>
    <col min="1" max="1" width="4.5703125" customWidth="1"/>
    <col min="2" max="2" width="41.140625" bestFit="1" customWidth="1"/>
    <col min="3" max="3" width="14.42578125" customWidth="1"/>
    <col min="4" max="4" width="22" customWidth="1"/>
    <col min="5" max="5" width="22.5703125" bestFit="1" customWidth="1"/>
    <col min="6" max="6" width="20.5703125" bestFit="1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 x14ac:dyDescent="0.25">
      <c r="A1" s="514" t="s">
        <v>1775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</row>
    <row r="2" spans="1:14" ht="15.75" x14ac:dyDescent="0.25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</row>
    <row r="3" spans="1:14" ht="15.75" x14ac:dyDescent="0.25">
      <c r="A3" s="514" t="s">
        <v>2316</v>
      </c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</row>
    <row r="4" spans="1:14" ht="15.75" x14ac:dyDescent="0.25">
      <c r="A4" s="514" t="s">
        <v>2770</v>
      </c>
      <c r="B4" s="514"/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</row>
    <row r="5" spans="1:14" ht="15.75" x14ac:dyDescent="0.25">
      <c r="A5" s="262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</row>
    <row r="6" spans="1:14" ht="15.75" x14ac:dyDescent="0.25">
      <c r="A6" s="514" t="s">
        <v>2804</v>
      </c>
      <c r="B6" s="514"/>
      <c r="C6" s="514"/>
      <c r="D6" s="514"/>
      <c r="E6" s="514"/>
      <c r="F6" s="514"/>
      <c r="G6" s="514"/>
      <c r="H6" s="514"/>
      <c r="I6" s="514"/>
      <c r="J6" s="514"/>
      <c r="K6" s="514"/>
      <c r="L6" s="514"/>
      <c r="M6" s="514"/>
      <c r="N6" s="514"/>
    </row>
    <row r="8" spans="1:14" ht="15.75" thickBot="1" x14ac:dyDescent="0.3"/>
    <row r="9" spans="1:14" ht="15.75" thickBot="1" x14ac:dyDescent="0.3">
      <c r="A9" s="129"/>
      <c r="B9" s="130"/>
      <c r="C9" s="131"/>
      <c r="D9" s="129"/>
      <c r="E9" s="515" t="s">
        <v>2312</v>
      </c>
      <c r="F9" s="516"/>
      <c r="G9" s="132" t="s">
        <v>552</v>
      </c>
      <c r="H9" s="515" t="s">
        <v>132</v>
      </c>
      <c r="I9" s="516"/>
      <c r="J9" s="132" t="s">
        <v>2317</v>
      </c>
      <c r="K9" s="129"/>
      <c r="L9" s="263"/>
    </row>
    <row r="10" spans="1:14" x14ac:dyDescent="0.25">
      <c r="A10" s="133"/>
      <c r="B10" s="134"/>
      <c r="C10" s="135"/>
      <c r="D10" s="135"/>
      <c r="E10" s="131"/>
      <c r="F10" s="131"/>
      <c r="G10" s="131"/>
      <c r="H10" s="131"/>
      <c r="I10" s="131"/>
      <c r="J10" s="131"/>
      <c r="K10" s="133"/>
      <c r="L10" s="264"/>
    </row>
    <row r="11" spans="1:14" x14ac:dyDescent="0.25">
      <c r="A11" s="133"/>
      <c r="B11" s="134"/>
      <c r="C11" s="135"/>
      <c r="D11" s="135"/>
      <c r="E11" s="135"/>
      <c r="F11" s="135"/>
      <c r="G11" s="135"/>
      <c r="H11" s="135"/>
      <c r="I11" s="135"/>
      <c r="J11" s="135"/>
      <c r="K11" s="133"/>
      <c r="L11" s="264"/>
    </row>
    <row r="12" spans="1:14" ht="15.75" thickBot="1" x14ac:dyDescent="0.3">
      <c r="A12" s="136"/>
      <c r="B12" s="265" t="s">
        <v>119</v>
      </c>
      <c r="C12" s="266" t="s">
        <v>1424</v>
      </c>
      <c r="D12" s="266" t="s">
        <v>2318</v>
      </c>
      <c r="E12" s="137" t="s">
        <v>2313</v>
      </c>
      <c r="F12" s="137" t="s">
        <v>2314</v>
      </c>
      <c r="G12" s="137" t="s">
        <v>2313</v>
      </c>
      <c r="H12" s="137" t="s">
        <v>2313</v>
      </c>
      <c r="I12" s="137" t="s">
        <v>2315</v>
      </c>
      <c r="J12" s="137" t="s">
        <v>2315</v>
      </c>
      <c r="K12" s="162" t="s">
        <v>82</v>
      </c>
      <c r="L12" s="138" t="s">
        <v>2335</v>
      </c>
    </row>
    <row r="13" spans="1:14" x14ac:dyDescent="0.25">
      <c r="A13" s="120"/>
      <c r="B13" s="121"/>
      <c r="C13" s="139"/>
      <c r="D13" s="143"/>
      <c r="E13" s="144"/>
      <c r="F13" s="144"/>
      <c r="G13" s="144"/>
      <c r="H13" s="144"/>
      <c r="I13" s="144"/>
      <c r="J13" s="144"/>
      <c r="K13" s="121"/>
      <c r="L13" s="153"/>
    </row>
    <row r="14" spans="1:14" x14ac:dyDescent="0.25">
      <c r="A14" s="124" t="s">
        <v>1425</v>
      </c>
      <c r="B14" s="158" t="s">
        <v>210</v>
      </c>
      <c r="C14" s="140"/>
      <c r="D14" s="284">
        <f>'Allocation ProForma'!O174</f>
        <v>58364474.805565506</v>
      </c>
      <c r="E14" s="278">
        <f>'Allocation ProForma'!O123+'Allocation ProForma'!O124+'Allocation ProForma'!O125</f>
        <v>49946237.134465471</v>
      </c>
      <c r="F14" s="278">
        <f>'Allocation ProForma'!O126</f>
        <v>1764580.9889644217</v>
      </c>
      <c r="G14" s="278">
        <f>'Allocation ProForma'!O135</f>
        <v>6616647.6371734561</v>
      </c>
      <c r="H14" s="278">
        <f>'Allocation ProForma'!O145+'Allocation ProForma'!O147+'Allocation ProForma'!O152+'Allocation ProForma'!O141</f>
        <v>0</v>
      </c>
      <c r="I14" s="278">
        <f>'Allocation ProForma'!O146+'Allocation ProForma'!O148+'Allocation ProForma'!O153+'Allocation ProForma'!O157+'Allocation ProForma'!O160+'Allocation ProForma'!O163</f>
        <v>36495.175407529416</v>
      </c>
      <c r="J14" s="278">
        <f>'Allocation ProForma'!O166+'Allocation ProForma'!O169</f>
        <v>513.86955462341359</v>
      </c>
      <c r="K14" s="285">
        <f>SUM(E14:J14)</f>
        <v>58364474.805565506</v>
      </c>
      <c r="L14" s="154" t="str">
        <f>IF(ABS(K14-D14)&lt;0.01,"ok","err")</f>
        <v>ok</v>
      </c>
    </row>
    <row r="15" spans="1:14" x14ac:dyDescent="0.25">
      <c r="A15" s="125" t="s">
        <v>1663</v>
      </c>
      <c r="B15" s="304" t="s">
        <v>2293</v>
      </c>
      <c r="C15" s="140"/>
      <c r="D15" s="284">
        <f>'Allocation ProForma'!O857+'Allocation ProForma'!O858+'Allocation ProForma'!O859</f>
        <v>-4035849.0530727366</v>
      </c>
      <c r="E15" s="279">
        <f t="shared" ref="E15:J15" si="0">(E14/$D$14)*$D$15</f>
        <v>-3453735.7616119087</v>
      </c>
      <c r="F15" s="279">
        <f t="shared" si="0"/>
        <v>-122019.13127989144</v>
      </c>
      <c r="G15" s="279">
        <f t="shared" si="0"/>
        <v>-457535.01920411421</v>
      </c>
      <c r="H15" s="279">
        <f t="shared" si="0"/>
        <v>0</v>
      </c>
      <c r="I15" s="279">
        <f t="shared" si="0"/>
        <v>-2523.6073759059313</v>
      </c>
      <c r="J15" s="279">
        <f t="shared" si="0"/>
        <v>-35.53360091628975</v>
      </c>
      <c r="K15" s="285">
        <f>SUM(E15:J15)</f>
        <v>-4035849.0530727361</v>
      </c>
      <c r="L15" s="154" t="str">
        <f>IF(ABS(K15-D15)&lt;0.01,"ok","err")</f>
        <v>ok</v>
      </c>
    </row>
    <row r="16" spans="1:14" x14ac:dyDescent="0.25">
      <c r="A16" s="125" t="s">
        <v>2294</v>
      </c>
      <c r="B16" s="305" t="s">
        <v>2295</v>
      </c>
      <c r="C16" s="140"/>
      <c r="D16" s="286">
        <f>D14+D15</f>
        <v>54328625.752492771</v>
      </c>
      <c r="E16" s="276">
        <f t="shared" ref="E16:K16" si="1">E14+E15</f>
        <v>46492501.372853562</v>
      </c>
      <c r="F16" s="276">
        <f t="shared" si="1"/>
        <v>1642561.8576845303</v>
      </c>
      <c r="G16" s="276">
        <f t="shared" si="1"/>
        <v>6159112.6179693416</v>
      </c>
      <c r="H16" s="276">
        <f t="shared" si="1"/>
        <v>0</v>
      </c>
      <c r="I16" s="276">
        <f t="shared" si="1"/>
        <v>33971.568031623487</v>
      </c>
      <c r="J16" s="276">
        <f t="shared" si="1"/>
        <v>478.33595370712385</v>
      </c>
      <c r="K16" s="285">
        <f t="shared" si="1"/>
        <v>54328625.752492771</v>
      </c>
      <c r="L16" s="154" t="str">
        <f>IF(ABS(K16-D16)&lt;0.01,"ok","err")</f>
        <v>ok</v>
      </c>
    </row>
    <row r="17" spans="1:12" x14ac:dyDescent="0.25">
      <c r="A17" s="125"/>
      <c r="B17" s="305"/>
      <c r="C17" s="141"/>
      <c r="D17" s="287"/>
      <c r="E17" s="186"/>
      <c r="F17" s="186"/>
      <c r="G17" s="186"/>
      <c r="H17" s="186"/>
      <c r="I17" s="186"/>
      <c r="J17" s="186"/>
      <c r="K17" s="285"/>
      <c r="L17" s="155"/>
    </row>
    <row r="18" spans="1:12" x14ac:dyDescent="0.25">
      <c r="A18" s="125" t="s">
        <v>2296</v>
      </c>
      <c r="B18" s="158" t="s">
        <v>534</v>
      </c>
      <c r="C18" s="140"/>
      <c r="D18" s="288">
        <f>'Allocation ProForma'!O1092</f>
        <v>6.1344595179461323E-2</v>
      </c>
      <c r="E18" s="280">
        <f t="shared" ref="E18:J18" si="2">D18</f>
        <v>6.1344595179461323E-2</v>
      </c>
      <c r="F18" s="280">
        <f t="shared" si="2"/>
        <v>6.1344595179461323E-2</v>
      </c>
      <c r="G18" s="280">
        <f t="shared" si="2"/>
        <v>6.1344595179461323E-2</v>
      </c>
      <c r="H18" s="280">
        <f t="shared" si="2"/>
        <v>6.1344595179461323E-2</v>
      </c>
      <c r="I18" s="280">
        <f t="shared" si="2"/>
        <v>6.1344595179461323E-2</v>
      </c>
      <c r="J18" s="280">
        <f t="shared" si="2"/>
        <v>6.1344595179461323E-2</v>
      </c>
      <c r="K18" s="285"/>
      <c r="L18" s="154"/>
    </row>
    <row r="19" spans="1:12" x14ac:dyDescent="0.25">
      <c r="A19" s="122"/>
      <c r="B19" s="158"/>
      <c r="C19" s="141"/>
      <c r="D19" s="287"/>
      <c r="E19" s="186"/>
      <c r="F19" s="186"/>
      <c r="G19" s="186"/>
      <c r="H19" s="186"/>
      <c r="I19" s="186"/>
      <c r="J19" s="186"/>
      <c r="K19" s="285"/>
      <c r="L19" s="155"/>
    </row>
    <row r="20" spans="1:12" x14ac:dyDescent="0.25">
      <c r="A20" s="125" t="s">
        <v>2297</v>
      </c>
      <c r="B20" s="158" t="s">
        <v>2298</v>
      </c>
      <c r="C20" s="140"/>
      <c r="D20" s="286">
        <f>D18*D16</f>
        <v>3332767.5534431264</v>
      </c>
      <c r="E20" s="276">
        <f t="shared" ref="E20:J20" si="3">E18*E16</f>
        <v>2852063.6755982516</v>
      </c>
      <c r="F20" s="276">
        <f t="shared" si="3"/>
        <v>100762.29221688147</v>
      </c>
      <c r="G20" s="276">
        <f t="shared" si="3"/>
        <v>377828.27021404146</v>
      </c>
      <c r="H20" s="276">
        <f t="shared" si="3"/>
        <v>0</v>
      </c>
      <c r="I20" s="276">
        <f t="shared" si="3"/>
        <v>2083.9720885114725</v>
      </c>
      <c r="J20" s="276">
        <f t="shared" si="3"/>
        <v>29.343325439945065</v>
      </c>
      <c r="K20" s="285">
        <f>SUM(E20:J20)</f>
        <v>3332767.5534431259</v>
      </c>
      <c r="L20" s="154" t="str">
        <f>IF(ABS(K20-D20)&lt;0.01,"ok","err")</f>
        <v>ok</v>
      </c>
    </row>
    <row r="21" spans="1:12" x14ac:dyDescent="0.25">
      <c r="A21" s="122"/>
      <c r="B21" s="158"/>
      <c r="C21" s="141"/>
      <c r="D21" s="287"/>
      <c r="E21" s="186"/>
      <c r="F21" s="186"/>
      <c r="G21" s="186"/>
      <c r="H21" s="186"/>
      <c r="I21" s="186"/>
      <c r="J21" s="186"/>
      <c r="K21" s="285"/>
      <c r="L21" s="155"/>
    </row>
    <row r="22" spans="1:12" x14ac:dyDescent="0.25">
      <c r="A22" s="125" t="s">
        <v>1664</v>
      </c>
      <c r="B22" s="158" t="s">
        <v>2299</v>
      </c>
      <c r="C22" s="140"/>
      <c r="D22" s="286">
        <f>'Allocation ProForma'!O706</f>
        <v>985123.25665112166</v>
      </c>
      <c r="E22" s="276">
        <f t="shared" ref="E22:J22" si="4">(E14/$D$14)*$D$22</f>
        <v>843033.3682824797</v>
      </c>
      <c r="F22" s="276">
        <f t="shared" si="4"/>
        <v>29784.03859992457</v>
      </c>
      <c r="G22" s="276">
        <f t="shared" si="4"/>
        <v>111681.18089231401</v>
      </c>
      <c r="H22" s="276">
        <f t="shared" si="4"/>
        <v>0</v>
      </c>
      <c r="I22" s="276">
        <f t="shared" si="4"/>
        <v>615.99536651858944</v>
      </c>
      <c r="J22" s="276">
        <f t="shared" si="4"/>
        <v>8.6735098847528072</v>
      </c>
      <c r="K22" s="285">
        <f>SUM(E22:J22)</f>
        <v>985123.25665112154</v>
      </c>
      <c r="L22" s="154" t="str">
        <f>IF(ABS(K22-D22)&lt;0.01,"ok","err")</f>
        <v>ok</v>
      </c>
    </row>
    <row r="23" spans="1:12" x14ac:dyDescent="0.25">
      <c r="A23" s="122"/>
      <c r="B23" s="158"/>
      <c r="C23" s="141"/>
      <c r="D23" s="287"/>
      <c r="E23" s="186"/>
      <c r="F23" s="186"/>
      <c r="G23" s="186"/>
      <c r="H23" s="186"/>
      <c r="I23" s="186"/>
      <c r="J23" s="186"/>
      <c r="K23" s="285"/>
      <c r="L23" s="155"/>
    </row>
    <row r="24" spans="1:12" x14ac:dyDescent="0.25">
      <c r="A24" s="125" t="s">
        <v>1665</v>
      </c>
      <c r="B24" s="158" t="s">
        <v>248</v>
      </c>
      <c r="C24" s="140"/>
      <c r="D24" s="286">
        <f>D20-D22</f>
        <v>2347644.2967920047</v>
      </c>
      <c r="E24" s="276">
        <f t="shared" ref="E24:J24" si="5">E20-E22</f>
        <v>2009030.3073157719</v>
      </c>
      <c r="F24" s="276">
        <f t="shared" si="5"/>
        <v>70978.253616956907</v>
      </c>
      <c r="G24" s="276">
        <f t="shared" si="5"/>
        <v>266147.08932172746</v>
      </c>
      <c r="H24" s="276">
        <f t="shared" si="5"/>
        <v>0</v>
      </c>
      <c r="I24" s="276">
        <f t="shared" si="5"/>
        <v>1467.9767219928831</v>
      </c>
      <c r="J24" s="276">
        <f t="shared" si="5"/>
        <v>20.669815555192258</v>
      </c>
      <c r="K24" s="285">
        <f>SUM(E24:J24)</f>
        <v>2347644.2967920043</v>
      </c>
      <c r="L24" s="154" t="str">
        <f>IF(ABS(K24-D24)&lt;0.01,"ok","err")</f>
        <v>ok</v>
      </c>
    </row>
    <row r="25" spans="1:12" x14ac:dyDescent="0.25">
      <c r="A25" s="122"/>
      <c r="B25" s="158"/>
      <c r="C25" s="141"/>
      <c r="D25" s="287"/>
      <c r="E25" s="186"/>
      <c r="F25" s="186"/>
      <c r="G25" s="186"/>
      <c r="H25" s="186"/>
      <c r="I25" s="186"/>
      <c r="J25" s="186"/>
      <c r="K25" s="285"/>
      <c r="L25" s="155"/>
    </row>
    <row r="26" spans="1:12" x14ac:dyDescent="0.25">
      <c r="A26" s="125" t="s">
        <v>1666</v>
      </c>
      <c r="B26" s="158" t="s">
        <v>660</v>
      </c>
      <c r="C26" s="141"/>
      <c r="D26" s="286">
        <f>'Allocation ProForma'!O820+'Allocation ProForma'!O1084</f>
        <v>1633287.3897602528</v>
      </c>
      <c r="E26" s="276">
        <f t="shared" ref="E26:J26" si="6">$D$26*(E24/$K$24)</f>
        <v>1397709.1295597295</v>
      </c>
      <c r="F26" s="276">
        <f t="shared" si="6"/>
        <v>49380.515923214283</v>
      </c>
      <c r="G26" s="276">
        <f t="shared" si="6"/>
        <v>185162.07306386754</v>
      </c>
      <c r="H26" s="276">
        <f t="shared" si="6"/>
        <v>0</v>
      </c>
      <c r="I26" s="276">
        <f t="shared" si="6"/>
        <v>1021.2909475974983</v>
      </c>
      <c r="J26" s="276">
        <f t="shared" si="6"/>
        <v>14.38026584397716</v>
      </c>
      <c r="K26" s="285">
        <f>SUM(E26:J26)</f>
        <v>1633287.389760253</v>
      </c>
      <c r="L26" s="154" t="str">
        <f>IF(ABS(K26-D26)&lt;0.01,"ok","err")</f>
        <v>ok</v>
      </c>
    </row>
    <row r="27" spans="1:12" x14ac:dyDescent="0.25">
      <c r="A27" s="122"/>
      <c r="B27" s="158"/>
      <c r="C27" s="141"/>
      <c r="D27" s="287"/>
      <c r="E27" s="186"/>
      <c r="F27" s="186"/>
      <c r="G27" s="186"/>
      <c r="H27" s="186"/>
      <c r="I27" s="186"/>
      <c r="J27" s="186"/>
      <c r="K27" s="285"/>
      <c r="L27" s="155"/>
    </row>
    <row r="28" spans="1:12" x14ac:dyDescent="0.25">
      <c r="A28" s="125" t="s">
        <v>1667</v>
      </c>
      <c r="B28" s="158" t="s">
        <v>945</v>
      </c>
      <c r="C28" s="140"/>
      <c r="D28" s="286">
        <f>'Allocation ProForma'!O672</f>
        <v>18926916.147077117</v>
      </c>
      <c r="E28" s="276">
        <f>'Allocation ProForma'!O180+'Allocation ProForma'!O181+'Allocation ProForma'!O182</f>
        <v>1955883.3925880296</v>
      </c>
      <c r="F28" s="276">
        <f>'Allocation ProForma'!O183</f>
        <v>16316499.421739621</v>
      </c>
      <c r="G28" s="276">
        <f>'Allocation ProForma'!O192</f>
        <v>641955.43617332866</v>
      </c>
      <c r="H28" s="276">
        <f>'Allocation ProForma'!O198+'Allocation ProForma'!O202+'Allocation ProForma'!O204+'Allocation ProForma'!O209</f>
        <v>0</v>
      </c>
      <c r="I28" s="276">
        <f>'Allocation ProForma'!O203+'Allocation ProForma'!O205+'Allocation ProForma'!O210+'Allocation ProForma'!O214+'Allocation ProForma'!O217</f>
        <v>8469.6242103480708</v>
      </c>
      <c r="J28" s="276">
        <f>'Allocation ProForma'!O223+'Allocation ProForma'!O226</f>
        <v>4108.2723657929264</v>
      </c>
      <c r="K28" s="285">
        <f>SUM(E28:J28)</f>
        <v>18926916.147077117</v>
      </c>
      <c r="L28" s="154" t="str">
        <f>IF(ABS(K28-D28)&lt;0.01,"ok","err")</f>
        <v>ok</v>
      </c>
    </row>
    <row r="29" spans="1:12" x14ac:dyDescent="0.25">
      <c r="A29" s="125" t="s">
        <v>2300</v>
      </c>
      <c r="B29" s="158" t="s">
        <v>1040</v>
      </c>
      <c r="C29" s="140"/>
      <c r="D29" s="286">
        <f>'Allocation ProForma'!O673</f>
        <v>2848821.339736606</v>
      </c>
      <c r="E29" s="276">
        <f>'Allocation ProForma'!O300</f>
        <v>2620913.7421517656</v>
      </c>
      <c r="F29" s="276">
        <v>0</v>
      </c>
      <c r="G29" s="276">
        <f>'Allocation ProForma'!O306</f>
        <v>226325.12194988405</v>
      </c>
      <c r="H29" s="276">
        <f>'Allocation ProForma'!O312+'Allocation ProForma'!O316+'Allocation ProForma'!O318+'Allocation ProForma'!O323</f>
        <v>0</v>
      </c>
      <c r="I29" s="276">
        <f>'Allocation ProForma'!O317+'Allocation ProForma'!O319+'Allocation ProForma'!O324+'Allocation ProForma'!O328+'Allocation ProForma'!O331</f>
        <v>1582.4756349560594</v>
      </c>
      <c r="J29" s="276">
        <v>0</v>
      </c>
      <c r="K29" s="285">
        <f>SUM(E29:J29)</f>
        <v>2848821.339736606</v>
      </c>
      <c r="L29" s="154" t="str">
        <f>IF(ABS(K29-D29)&lt;0.01,"ok","err")</f>
        <v>ok</v>
      </c>
    </row>
    <row r="30" spans="1:12" x14ac:dyDescent="0.25">
      <c r="A30" s="125" t="s">
        <v>2301</v>
      </c>
      <c r="B30" s="158" t="s">
        <v>521</v>
      </c>
      <c r="C30" s="140"/>
      <c r="D30" s="286">
        <f>'Allocation ProForma'!O675+'Allocation ProForma'!O676+'Allocation ProForma'!O677+'Allocation ProForma'!O674</f>
        <v>367922.0330750494</v>
      </c>
      <c r="E30" s="276">
        <f>'Allocation ProForma'!O414+'Allocation ProForma'!O471+'Allocation ProForma'!O357</f>
        <v>312438.31341603945</v>
      </c>
      <c r="F30" s="276">
        <f>'Allocation ProForma'!O529</f>
        <v>-20.458560839243059</v>
      </c>
      <c r="G30" s="276">
        <f>'Allocation ProForma'!O420+'Allocation ProForma'!O477+'Allocation ProForma'!O363</f>
        <v>55232.33202841373</v>
      </c>
      <c r="H30" s="276">
        <f>'Allocation ProForma'!O426+'Allocation ProForma'!O430+'Allocation ProForma'!O432+'Allocation ProForma'!O437+'Allocation ProForma'!O483+'Allocation ProForma'!O487+'Allocation ProForma'!O489+'Allocation ProForma'!O494+'Allocation ProForma'!O369+'Allocation ProForma'!O373+'Allocation ProForma'!O375+'Allocation ProForma'!O380</f>
        <v>0</v>
      </c>
      <c r="I30" s="276">
        <f>'Allocation ProForma'!O431+'Allocation ProForma'!O433+'Allocation ProForma'!O438+'Allocation ProForma'!O442+'Allocation ProForma'!O445+'Allocation ProForma'!O488+'Allocation ProForma'!O490+'Allocation ProForma'!O495+'Allocation ProForma'!O499+'Allocation ProForma'!O502+'Allocation ProForma'!O374+'Allocation ProForma'!O376+'Allocation ProForma'!O381+'Allocation ProForma'!O385+'Allocation ProForma'!O388</f>
        <v>271.84619143543375</v>
      </c>
      <c r="J30" s="276">
        <v>0</v>
      </c>
      <c r="K30" s="285">
        <f>SUM(E30:J30)</f>
        <v>367922.03307504934</v>
      </c>
      <c r="L30" s="154" t="str">
        <f>IF(ABS(K30-D30)&lt;0.01,"ok","err")</f>
        <v>ok</v>
      </c>
    </row>
    <row r="31" spans="1:12" x14ac:dyDescent="0.25">
      <c r="A31" s="125" t="s">
        <v>2302</v>
      </c>
      <c r="B31" s="158" t="s">
        <v>2338</v>
      </c>
      <c r="C31" s="140"/>
      <c r="D31" s="286">
        <f>'Allocation ProForma'!O680+'Allocation ProForma'!O679</f>
        <v>-5304394.839075177</v>
      </c>
      <c r="E31" s="276">
        <f>D31</f>
        <v>-5304394.839075177</v>
      </c>
      <c r="F31" s="276"/>
      <c r="G31" s="276"/>
      <c r="H31" s="276"/>
      <c r="I31" s="276"/>
      <c r="J31" s="276"/>
      <c r="K31" s="285">
        <f>SUM(E31:J31)</f>
        <v>-5304394.839075177</v>
      </c>
      <c r="L31" s="154" t="str">
        <f>IF(ABS(K31-D31)&lt;0.01,"ok","err")</f>
        <v>ok</v>
      </c>
    </row>
    <row r="32" spans="1:12" x14ac:dyDescent="0.25">
      <c r="A32" s="125" t="s">
        <v>2303</v>
      </c>
      <c r="B32" s="158" t="s">
        <v>2320</v>
      </c>
      <c r="C32" s="140"/>
      <c r="D32" s="286">
        <f>'Allocation ProForma'!O826</f>
        <v>-107760.73771351328</v>
      </c>
      <c r="E32" s="276">
        <f>D32</f>
        <v>-107760.73771351328</v>
      </c>
      <c r="F32" s="276">
        <v>0</v>
      </c>
      <c r="G32" s="276">
        <v>0</v>
      </c>
      <c r="H32" s="276">
        <v>0</v>
      </c>
      <c r="I32" s="276">
        <v>0</v>
      </c>
      <c r="J32" s="276">
        <v>0</v>
      </c>
      <c r="K32" s="285">
        <f>SUM(E32:J32)</f>
        <v>-107760.73771351328</v>
      </c>
      <c r="L32" s="154" t="str">
        <f t="shared" ref="L32:L38" si="7">IF(ABS(K32-D32)&lt;0.01,"ok","err")</f>
        <v>ok</v>
      </c>
    </row>
    <row r="33" spans="1:12" x14ac:dyDescent="0.25">
      <c r="A33" s="125" t="s">
        <v>2305</v>
      </c>
      <c r="B33" s="158" t="s">
        <v>2319</v>
      </c>
      <c r="C33" s="140"/>
      <c r="D33" s="286">
        <f>'Allocation ProForma'!O825+'Allocation ProForma'!O828+'Allocation ProForma'!O829</f>
        <v>-422187.95232566155</v>
      </c>
      <c r="E33" s="276">
        <v>0</v>
      </c>
      <c r="F33" s="276">
        <f>D33</f>
        <v>-422187.95232566155</v>
      </c>
      <c r="G33" s="276">
        <v>0</v>
      </c>
      <c r="H33" s="276">
        <v>0</v>
      </c>
      <c r="I33" s="276">
        <v>0</v>
      </c>
      <c r="J33" s="276">
        <v>0</v>
      </c>
      <c r="K33" s="285">
        <f t="shared" ref="K33:K38" si="8">SUM(E33:J33)</f>
        <v>-422187.95232566155</v>
      </c>
      <c r="L33" s="154" t="str">
        <f t="shared" si="7"/>
        <v>ok</v>
      </c>
    </row>
    <row r="34" spans="1:12" x14ac:dyDescent="0.25">
      <c r="A34" s="125" t="s">
        <v>2306</v>
      </c>
      <c r="B34" s="158" t="s">
        <v>2323</v>
      </c>
      <c r="C34" s="140"/>
      <c r="D34" s="286">
        <f>'Allocation ProForma'!O839+'Allocation ProForma'!O842</f>
        <v>-104407.700789469</v>
      </c>
      <c r="E34" s="276">
        <v>0</v>
      </c>
      <c r="F34" s="276">
        <v>0</v>
      </c>
      <c r="G34" s="276">
        <f>D34</f>
        <v>-104407.700789469</v>
      </c>
      <c r="H34" s="276">
        <v>0</v>
      </c>
      <c r="I34" s="276">
        <v>0</v>
      </c>
      <c r="J34" s="276">
        <v>0</v>
      </c>
      <c r="K34" s="285">
        <f t="shared" si="8"/>
        <v>-104407.700789469</v>
      </c>
      <c r="L34" s="154" t="str">
        <f t="shared" si="7"/>
        <v>ok</v>
      </c>
    </row>
    <row r="35" spans="1:12" x14ac:dyDescent="0.25">
      <c r="A35" s="125" t="s">
        <v>2308</v>
      </c>
      <c r="B35" s="158" t="s">
        <v>2321</v>
      </c>
      <c r="C35" s="140"/>
      <c r="D35" s="286">
        <f>'Allocation ProForma'!O830+'Allocation ProForma'!O837</f>
        <v>0</v>
      </c>
      <c r="E35" s="276">
        <v>0</v>
      </c>
      <c r="F35" s="276">
        <v>0</v>
      </c>
      <c r="G35" s="276">
        <v>0</v>
      </c>
      <c r="H35" s="276">
        <f>(H14/($I$14+$H$14)*$D$35)</f>
        <v>0</v>
      </c>
      <c r="I35" s="276">
        <f>(I14/($I$14+$H$14)*$D$35)</f>
        <v>0</v>
      </c>
      <c r="J35" s="276">
        <v>0</v>
      </c>
      <c r="K35" s="285">
        <f t="shared" si="8"/>
        <v>0</v>
      </c>
      <c r="L35" s="154" t="str">
        <f t="shared" si="7"/>
        <v>ok</v>
      </c>
    </row>
    <row r="36" spans="1:12" x14ac:dyDescent="0.25">
      <c r="A36" s="159" t="s">
        <v>2310</v>
      </c>
      <c r="B36" s="158" t="s">
        <v>2322</v>
      </c>
      <c r="C36" s="140"/>
      <c r="D36" s="286">
        <f>'Allocation ProForma'!O831+'Allocation ProForma'!O832+'Allocation ProForma'!O833+'Allocation ProForma'!O834+'Allocation ProForma'!O835+'Allocation ProForma'!O836+'Allocation ProForma'!O838+'Allocation ProForma'!O840+'Allocation ProForma'!O841+'Allocation ProForma'!O843+'Allocation ProForma'!O844+'Allocation ProForma'!O845+'Allocation ProForma'!O846+'Allocation ProForma'!O847</f>
        <v>-344312.866750599</v>
      </c>
      <c r="E36" s="276">
        <f t="shared" ref="E36:J36" si="9">(E14/($D$14)*$D$36)</f>
        <v>-294650.67831867392</v>
      </c>
      <c r="F36" s="276">
        <f t="shared" si="9"/>
        <v>-10409.893020505871</v>
      </c>
      <c r="G36" s="276">
        <f t="shared" si="9"/>
        <v>-39033.965846918341</v>
      </c>
      <c r="H36" s="276">
        <f t="shared" si="9"/>
        <v>0</v>
      </c>
      <c r="I36" s="276">
        <f t="shared" si="9"/>
        <v>-215.29806460169107</v>
      </c>
      <c r="J36" s="276">
        <f t="shared" si="9"/>
        <v>-3.0314998991710147</v>
      </c>
      <c r="K36" s="285">
        <f t="shared" si="8"/>
        <v>-344312.86675059894</v>
      </c>
      <c r="L36" s="154" t="str">
        <f t="shared" si="7"/>
        <v>ok</v>
      </c>
    </row>
    <row r="37" spans="1:12" x14ac:dyDescent="0.25">
      <c r="A37" s="125"/>
      <c r="B37" s="158"/>
      <c r="D37" s="286"/>
      <c r="E37" s="276"/>
      <c r="F37" s="276"/>
      <c r="G37" s="276"/>
      <c r="H37" s="276"/>
      <c r="I37" s="276"/>
      <c r="J37" s="276"/>
      <c r="K37" s="285"/>
      <c r="L37" s="154"/>
    </row>
    <row r="38" spans="1:12" x14ac:dyDescent="0.25">
      <c r="A38" s="125" t="s">
        <v>2324</v>
      </c>
      <c r="B38" s="158" t="s">
        <v>2329</v>
      </c>
      <c r="C38" s="140"/>
      <c r="D38" s="286">
        <f>'Allocation ProForma'!O848</f>
        <v>-978669.25757924293</v>
      </c>
      <c r="E38" s="276">
        <f>SUM(E32:E36)</f>
        <v>-402411.41603218718</v>
      </c>
      <c r="F38" s="276">
        <f>SUM(F33:F36)</f>
        <v>-432597.84534616745</v>
      </c>
      <c r="G38" s="276">
        <f>SUM(G32:G36)</f>
        <v>-143441.66663638735</v>
      </c>
      <c r="H38" s="276">
        <f>SUM(H32:H36)</f>
        <v>0</v>
      </c>
      <c r="I38" s="276">
        <f>SUM(I32:I36)</f>
        <v>-215.29806460169107</v>
      </c>
      <c r="J38" s="276">
        <f>SUM(J32:J36)</f>
        <v>-3.0314998991710147</v>
      </c>
      <c r="K38" s="285">
        <f t="shared" si="8"/>
        <v>-978669.25757924293</v>
      </c>
      <c r="L38" s="154" t="str">
        <f t="shared" si="7"/>
        <v>ok</v>
      </c>
    </row>
    <row r="39" spans="1:12" x14ac:dyDescent="0.25">
      <c r="A39" s="122"/>
      <c r="B39" s="158"/>
      <c r="C39" s="141"/>
      <c r="D39" s="289"/>
      <c r="E39" s="186"/>
      <c r="F39" s="186"/>
      <c r="G39" s="186"/>
      <c r="H39" s="186"/>
      <c r="I39" s="186"/>
      <c r="J39" s="186"/>
      <c r="K39" s="158"/>
      <c r="L39" s="155"/>
    </row>
    <row r="40" spans="1:12" x14ac:dyDescent="0.25">
      <c r="A40" s="125" t="s">
        <v>2325</v>
      </c>
      <c r="B40" s="158" t="s">
        <v>2304</v>
      </c>
      <c r="C40" s="157">
        <f>'Allocation ProForma'!O1028</f>
        <v>20771931.074242212</v>
      </c>
      <c r="D40" s="286">
        <f>SUM(D28:D31)+D22+D26+D38+D24</f>
        <v>20826650.366437729</v>
      </c>
      <c r="E40" s="276">
        <f t="shared" ref="E40:J40" si="10">SUM(E28:E31)+E22+E26+E38+E24</f>
        <v>3432201.9982064525</v>
      </c>
      <c r="F40" s="276">
        <f t="shared" si="10"/>
        <v>16034023.925972711</v>
      </c>
      <c r="G40" s="276">
        <f t="shared" si="10"/>
        <v>1343061.5667931482</v>
      </c>
      <c r="H40" s="276">
        <f t="shared" si="10"/>
        <v>0</v>
      </c>
      <c r="I40" s="276">
        <f t="shared" si="10"/>
        <v>13213.911008246843</v>
      </c>
      <c r="J40" s="276">
        <f t="shared" si="10"/>
        <v>4148.964457177678</v>
      </c>
      <c r="K40" s="285">
        <f>SUM(E40:J40)</f>
        <v>20826650.366437733</v>
      </c>
      <c r="L40" s="154" t="str">
        <f>IF(ABS(K40-D40)&lt;0.01,"ok","err")</f>
        <v>ok</v>
      </c>
    </row>
    <row r="41" spans="1:12" x14ac:dyDescent="0.25">
      <c r="A41" s="122"/>
      <c r="B41" s="158"/>
      <c r="C41" s="141"/>
      <c r="D41" s="290"/>
      <c r="E41" s="186"/>
      <c r="F41" s="186"/>
      <c r="G41" s="186"/>
      <c r="H41" s="186"/>
      <c r="I41" s="186"/>
      <c r="J41" s="186"/>
      <c r="K41" s="158"/>
      <c r="L41" s="155"/>
    </row>
    <row r="42" spans="1:12" x14ac:dyDescent="0.25">
      <c r="A42" s="125" t="s">
        <v>2326</v>
      </c>
      <c r="B42" s="158" t="s">
        <v>2347</v>
      </c>
      <c r="C42" s="140"/>
      <c r="D42" s="286">
        <f>-'Allocation ProForma'!O661</f>
        <v>-226338.7253014592</v>
      </c>
      <c r="E42" s="276"/>
      <c r="F42" s="276">
        <v>0</v>
      </c>
      <c r="G42" s="276">
        <f>D42</f>
        <v>-226338.7253014592</v>
      </c>
      <c r="H42" s="276">
        <v>0</v>
      </c>
      <c r="I42" s="276">
        <v>0</v>
      </c>
      <c r="J42" s="276">
        <v>0</v>
      </c>
      <c r="K42" s="285">
        <f>SUM(E42:J42)</f>
        <v>-226338.7253014592</v>
      </c>
      <c r="L42" s="154" t="str">
        <f>IF(ABS(K42-D42)&lt;0.01,"ok","err")</f>
        <v>ok</v>
      </c>
    </row>
    <row r="43" spans="1:12" x14ac:dyDescent="0.25">
      <c r="A43" s="125" t="s">
        <v>2327</v>
      </c>
      <c r="B43" s="158" t="s">
        <v>2330</v>
      </c>
      <c r="C43" s="140"/>
      <c r="D43" s="286">
        <f>-('Allocation ProForma'!O654+'Allocation ProForma'!O655+'Allocation ProForma'!O656)</f>
        <v>-742363.43979518279</v>
      </c>
      <c r="E43" s="276">
        <v>0</v>
      </c>
      <c r="F43" s="276">
        <f>D43</f>
        <v>-742363.43979518279</v>
      </c>
      <c r="G43" s="276">
        <v>0</v>
      </c>
      <c r="H43" s="276">
        <v>0</v>
      </c>
      <c r="I43" s="276">
        <v>0</v>
      </c>
      <c r="J43" s="276">
        <v>0</v>
      </c>
      <c r="K43" s="285">
        <f>SUM(E43:J43)</f>
        <v>-742363.43979518279</v>
      </c>
      <c r="L43" s="154" t="str">
        <f>IF(ABS(K43-D43)&lt;0.01,"ok","err")</f>
        <v>ok</v>
      </c>
    </row>
    <row r="44" spans="1:12" x14ac:dyDescent="0.25">
      <c r="A44" s="125" t="s">
        <v>2328</v>
      </c>
      <c r="B44" s="158" t="s">
        <v>2331</v>
      </c>
      <c r="C44" s="140"/>
      <c r="D44" s="286">
        <f>-('Allocation ProForma'!O652+'Allocation ProForma'!O653+'Allocation ProForma'!O657+'Allocation ProForma'!O658+'Allocation ProForma'!O659+'Allocation ProForma'!O660+'Allocation ProForma'!O662+'Allocation ProForma'!O663+'Allocation ProForma'!O664+'Allocation ProForma'!O665+'Allocation ProForma'!O666)</f>
        <v>-36294.165252607927</v>
      </c>
      <c r="E44" s="276">
        <f t="shared" ref="E44:J44" si="11">(E14/($D$14)*$D$44)</f>
        <v>-31059.252916148438</v>
      </c>
      <c r="F44" s="276">
        <f t="shared" si="11"/>
        <v>-1097.3112364745884</v>
      </c>
      <c r="G44" s="276">
        <f t="shared" si="11"/>
        <v>-4114.5868880319549</v>
      </c>
      <c r="H44" s="276">
        <f t="shared" si="11"/>
        <v>0</v>
      </c>
      <c r="I44" s="276">
        <f t="shared" si="11"/>
        <v>-22.69466026339499</v>
      </c>
      <c r="J44" s="276">
        <f t="shared" si="11"/>
        <v>-0.31955168954947472</v>
      </c>
      <c r="K44" s="285">
        <f>SUM(E44:J44)</f>
        <v>-36294.165252607927</v>
      </c>
      <c r="L44" s="154" t="str">
        <f>IF(ABS(K44-D44)&lt;0.01,"ok","err")</f>
        <v>ok</v>
      </c>
    </row>
    <row r="45" spans="1:12" x14ac:dyDescent="0.25">
      <c r="A45" s="125" t="s">
        <v>2332</v>
      </c>
      <c r="B45" s="158" t="s">
        <v>2334</v>
      </c>
      <c r="C45" s="140"/>
      <c r="D45" s="286">
        <f>SUM(D42:D44)</f>
        <v>-1004996.3303492499</v>
      </c>
      <c r="E45" s="276">
        <f t="shared" ref="E45:J45" si="12">SUM(E42:E44)</f>
        <v>-31059.252916148438</v>
      </c>
      <c r="F45" s="276">
        <f t="shared" si="12"/>
        <v>-743460.75103165733</v>
      </c>
      <c r="G45" s="276">
        <f t="shared" si="12"/>
        <v>-230453.31218949115</v>
      </c>
      <c r="H45" s="276">
        <f t="shared" si="12"/>
        <v>0</v>
      </c>
      <c r="I45" s="276">
        <f t="shared" si="12"/>
        <v>-22.69466026339499</v>
      </c>
      <c r="J45" s="276">
        <f t="shared" si="12"/>
        <v>-0.31955168954947472</v>
      </c>
      <c r="K45" s="285">
        <f>SUM(E45:J45)</f>
        <v>-1004996.3303492498</v>
      </c>
      <c r="L45" s="154" t="str">
        <f>IF(ABS(K45-D45)&lt;0.01,"ok","err")</f>
        <v>ok</v>
      </c>
    </row>
    <row r="46" spans="1:12" x14ac:dyDescent="0.25">
      <c r="A46" s="122"/>
      <c r="B46" s="158"/>
      <c r="D46" s="287"/>
      <c r="E46" s="186"/>
      <c r="F46" s="186"/>
      <c r="G46" s="186"/>
      <c r="H46" s="186"/>
      <c r="I46" s="186"/>
      <c r="J46" s="186"/>
      <c r="K46" s="158"/>
      <c r="L46" s="155"/>
    </row>
    <row r="47" spans="1:12" x14ac:dyDescent="0.25">
      <c r="A47" s="125" t="s">
        <v>2333</v>
      </c>
      <c r="B47" s="158" t="s">
        <v>2307</v>
      </c>
      <c r="C47" s="39">
        <f>'Allocation ProForma'!O1028-SUM('Allocation ProForma'!O652:O666)</f>
        <v>19766934.74389296</v>
      </c>
      <c r="D47" s="286">
        <f>D40+D45</f>
        <v>19821654.036088478</v>
      </c>
      <c r="E47" s="276">
        <f t="shared" ref="E47:J47" si="13">E40+E45</f>
        <v>3401142.7452903041</v>
      </c>
      <c r="F47" s="276">
        <f t="shared" si="13"/>
        <v>15290563.174941054</v>
      </c>
      <c r="G47" s="276">
        <f t="shared" si="13"/>
        <v>1112608.2546036569</v>
      </c>
      <c r="H47" s="276">
        <f t="shared" si="13"/>
        <v>0</v>
      </c>
      <c r="I47" s="276">
        <f t="shared" si="13"/>
        <v>13191.216347983449</v>
      </c>
      <c r="J47" s="276">
        <f t="shared" si="13"/>
        <v>4148.6449054881286</v>
      </c>
      <c r="K47" s="285">
        <f>SUM(E47:J47)</f>
        <v>19821654.036088489</v>
      </c>
      <c r="L47" s="154" t="str">
        <f>IF(ABS(K47-D47)&lt;0.01,"ok","err")</f>
        <v>ok</v>
      </c>
    </row>
    <row r="48" spans="1:12" x14ac:dyDescent="0.25">
      <c r="A48" s="122"/>
      <c r="B48" s="158"/>
      <c r="C48" s="141"/>
      <c r="D48" s="289"/>
      <c r="E48" s="186"/>
      <c r="F48" s="186"/>
      <c r="G48" s="186"/>
      <c r="H48" s="186"/>
      <c r="I48" s="186"/>
      <c r="J48" s="186"/>
      <c r="K48" s="158"/>
      <c r="L48" s="155"/>
    </row>
    <row r="49" spans="1:12" x14ac:dyDescent="0.25">
      <c r="A49" s="125" t="s">
        <v>2339</v>
      </c>
      <c r="B49" s="158" t="s">
        <v>2309</v>
      </c>
      <c r="C49" s="140"/>
      <c r="D49" s="291"/>
      <c r="E49" s="281">
        <v>2169914</v>
      </c>
      <c r="F49" s="281">
        <f>'Allocation ProForma'!$O$1121</f>
        <v>502871246</v>
      </c>
      <c r="G49" s="281">
        <f>E49</f>
        <v>2169914</v>
      </c>
      <c r="H49" s="281">
        <f>E49</f>
        <v>2169914</v>
      </c>
      <c r="I49" s="281">
        <f>'Allocation ProForma'!$O$1136*12</f>
        <v>12</v>
      </c>
      <c r="J49" s="281">
        <f>'Allocation ProForma'!$O$1136*12</f>
        <v>12</v>
      </c>
      <c r="K49" s="158"/>
      <c r="L49" s="155"/>
    </row>
    <row r="50" spans="1:12" ht="15.75" thickBot="1" x14ac:dyDescent="0.3">
      <c r="A50" s="122"/>
      <c r="B50" s="158"/>
      <c r="C50" s="141"/>
      <c r="D50" s="287"/>
      <c r="E50" s="313"/>
      <c r="F50" s="313"/>
      <c r="G50" s="313"/>
      <c r="H50" s="313"/>
      <c r="I50" s="313"/>
      <c r="J50" s="313"/>
      <c r="K50" s="158"/>
      <c r="L50" s="155"/>
    </row>
    <row r="51" spans="1:12" ht="15.75" thickBot="1" x14ac:dyDescent="0.3">
      <c r="A51" s="127" t="s">
        <v>2340</v>
      </c>
      <c r="B51" s="306" t="s">
        <v>2311</v>
      </c>
      <c r="C51" s="142"/>
      <c r="D51" s="292"/>
      <c r="E51" s="297">
        <f t="shared" ref="E51:J51" si="14">E47/E49</f>
        <v>1.5674090057441465</v>
      </c>
      <c r="F51" s="308">
        <f t="shared" si="14"/>
        <v>3.0406517168295309E-2</v>
      </c>
      <c r="G51" s="297">
        <f t="shared" si="14"/>
        <v>0.51274301866509775</v>
      </c>
      <c r="H51" s="297">
        <f t="shared" si="14"/>
        <v>0</v>
      </c>
      <c r="I51" s="297">
        <f>I47/I49</f>
        <v>1099.2680289986208</v>
      </c>
      <c r="J51" s="297">
        <f t="shared" si="14"/>
        <v>345.72040879067737</v>
      </c>
      <c r="K51" s="293">
        <f>I51+J51</f>
        <v>1444.9884377892981</v>
      </c>
      <c r="L51" s="156"/>
    </row>
    <row r="53" spans="1:12" x14ac:dyDescent="0.25">
      <c r="J53" s="163" t="s">
        <v>2349</v>
      </c>
      <c r="K53" s="314">
        <f>I51+J51</f>
        <v>1444.9884377892981</v>
      </c>
    </row>
    <row r="54" spans="1:12" x14ac:dyDescent="0.25">
      <c r="J54" s="163" t="s">
        <v>2348</v>
      </c>
      <c r="K54" s="311">
        <f>F51</f>
        <v>3.0406517168295309E-2</v>
      </c>
    </row>
    <row r="55" spans="1:12" x14ac:dyDescent="0.25">
      <c r="J55" s="163" t="s">
        <v>2802</v>
      </c>
      <c r="K55" s="314">
        <f>E51+G51+H51</f>
        <v>2.0801520244092444</v>
      </c>
    </row>
    <row r="57" spans="1:12" x14ac:dyDescent="0.25">
      <c r="J57" s="163" t="s">
        <v>1754</v>
      </c>
      <c r="K57" s="268">
        <f>K53</f>
        <v>1444.9884377892981</v>
      </c>
    </row>
    <row r="58" spans="1:12" ht="15.75" thickBot="1" x14ac:dyDescent="0.3">
      <c r="J58" s="163" t="s">
        <v>2800</v>
      </c>
      <c r="K58" s="269">
        <f>((I47+J47)*D18)/J49</f>
        <v>88.642230755186731</v>
      </c>
    </row>
    <row r="59" spans="1:12" ht="15.75" thickBot="1" x14ac:dyDescent="0.3">
      <c r="K59" s="270">
        <f>SUM(K57:K58)</f>
        <v>1533.6306685444849</v>
      </c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0.75" bottom="0.75" header="0.3" footer="0.3"/>
  <pageSetup scale="4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>
    <pageSetUpPr fitToPage="1"/>
  </sheetPr>
  <dimension ref="A1:Z312"/>
  <sheetViews>
    <sheetView zoomScale="75" zoomScaleNormal="75" workbookViewId="0">
      <pane xSplit="1" topLeftCell="B1" activePane="topRight" state="frozen"/>
      <selection pane="topRight"/>
    </sheetView>
  </sheetViews>
  <sheetFormatPr defaultRowHeight="15" x14ac:dyDescent="0.2"/>
  <cols>
    <col min="1" max="1" width="61.28515625" style="9" bestFit="1" customWidth="1"/>
    <col min="2" max="3" width="18.42578125" style="11" customWidth="1"/>
    <col min="4" max="4" width="19.42578125" style="9" bestFit="1" customWidth="1"/>
    <col min="5" max="5" width="19.42578125" style="9" customWidth="1"/>
    <col min="6" max="6" width="19.42578125" style="9" bestFit="1" customWidth="1"/>
    <col min="7" max="9" width="19.42578125" style="9" customWidth="1"/>
    <col min="10" max="10" width="20.42578125" style="9" bestFit="1" customWidth="1"/>
    <col min="11" max="12" width="18.42578125" style="9" bestFit="1" customWidth="1"/>
    <col min="13" max="13" width="18.5703125" style="9" bestFit="1" customWidth="1"/>
    <col min="14" max="15" width="18.42578125" style="9" bestFit="1" customWidth="1"/>
    <col min="16" max="16" width="19.85546875" style="9" bestFit="1" customWidth="1"/>
    <col min="17" max="17" width="16" style="9" bestFit="1" customWidth="1"/>
    <col min="18" max="18" width="14" style="9" bestFit="1" customWidth="1"/>
    <col min="19" max="19" width="19.5703125" style="9" customWidth="1"/>
    <col min="20" max="20" width="13.140625" style="9" bestFit="1" customWidth="1"/>
    <col min="21" max="21" width="14" style="9" bestFit="1" customWidth="1"/>
    <col min="22" max="22" width="12.5703125" style="9" customWidth="1"/>
    <col min="23" max="23" width="11.85546875" style="9" bestFit="1" customWidth="1"/>
    <col min="24" max="24" width="11.5703125" style="9" customWidth="1"/>
    <col min="25" max="16384" width="9.140625" style="9"/>
  </cols>
  <sheetData>
    <row r="1" spans="1:24" ht="18" x14ac:dyDescent="0.25">
      <c r="A1" s="377" t="s">
        <v>2202</v>
      </c>
    </row>
    <row r="2" spans="1:24" x14ac:dyDescent="0.2">
      <c r="A2" s="9" t="s">
        <v>1219</v>
      </c>
    </row>
    <row r="3" spans="1:24" x14ac:dyDescent="0.2">
      <c r="J3" s="206"/>
      <c r="S3" s="206"/>
    </row>
    <row r="4" spans="1:24" x14ac:dyDescent="0.2">
      <c r="A4" s="206"/>
      <c r="B4" s="35" t="s">
        <v>1063</v>
      </c>
      <c r="C4" s="378"/>
      <c r="D4" s="378"/>
      <c r="E4" s="378"/>
      <c r="F4" s="378" t="s">
        <v>2769</v>
      </c>
      <c r="G4" s="378"/>
      <c r="H4" s="378"/>
      <c r="I4" s="378"/>
      <c r="J4" s="379"/>
      <c r="K4" s="35" t="s">
        <v>1225</v>
      </c>
      <c r="L4" s="35"/>
      <c r="M4" s="35" t="s">
        <v>2708</v>
      </c>
      <c r="N4" s="35" t="s">
        <v>2709</v>
      </c>
      <c r="O4" s="35" t="s">
        <v>1225</v>
      </c>
      <c r="P4" s="206"/>
      <c r="Q4" s="206"/>
      <c r="R4" s="206"/>
      <c r="S4" s="206"/>
      <c r="U4" s="206"/>
    </row>
    <row r="5" spans="1:24" x14ac:dyDescent="0.2">
      <c r="A5" s="206"/>
      <c r="B5" s="35" t="s">
        <v>2705</v>
      </c>
      <c r="C5" s="35" t="s">
        <v>624</v>
      </c>
      <c r="D5" s="35"/>
      <c r="E5" s="35" t="s">
        <v>2756</v>
      </c>
      <c r="F5" s="380" t="s">
        <v>82</v>
      </c>
      <c r="G5" s="35" t="s">
        <v>2752</v>
      </c>
      <c r="H5" s="35" t="s">
        <v>2753</v>
      </c>
      <c r="I5" s="35" t="s">
        <v>2754</v>
      </c>
      <c r="J5" s="381" t="s">
        <v>2706</v>
      </c>
      <c r="K5" s="35" t="s">
        <v>1127</v>
      </c>
      <c r="L5" s="35" t="s">
        <v>1151</v>
      </c>
      <c r="M5" s="35" t="s">
        <v>2710</v>
      </c>
      <c r="N5" s="35" t="s">
        <v>2085</v>
      </c>
      <c r="O5" s="35" t="s">
        <v>658</v>
      </c>
      <c r="P5" s="206"/>
      <c r="Q5" s="206"/>
      <c r="R5" s="206"/>
      <c r="S5" s="206"/>
      <c r="U5" s="206"/>
      <c r="V5" s="206"/>
      <c r="W5" s="206"/>
      <c r="X5" s="206"/>
    </row>
    <row r="6" spans="1:24" ht="15.75" thickBot="1" x14ac:dyDescent="0.25">
      <c r="A6" s="206"/>
      <c r="B6" s="225">
        <v>40999</v>
      </c>
      <c r="C6" s="14" t="s">
        <v>625</v>
      </c>
      <c r="D6" s="14" t="s">
        <v>621</v>
      </c>
      <c r="E6" s="14" t="s">
        <v>2757</v>
      </c>
      <c r="F6" s="14" t="s">
        <v>551</v>
      </c>
      <c r="G6" s="14"/>
      <c r="H6" s="14" t="s">
        <v>2760</v>
      </c>
      <c r="I6" s="14" t="s">
        <v>2760</v>
      </c>
      <c r="J6" s="226" t="s">
        <v>2707</v>
      </c>
      <c r="K6" s="14" t="s">
        <v>123</v>
      </c>
      <c r="L6" s="14" t="s">
        <v>123</v>
      </c>
      <c r="M6" s="14" t="s">
        <v>123</v>
      </c>
      <c r="N6" s="14" t="s">
        <v>123</v>
      </c>
      <c r="O6" s="14" t="s">
        <v>659</v>
      </c>
      <c r="R6" s="11"/>
      <c r="S6" s="206"/>
    </row>
    <row r="7" spans="1:24" x14ac:dyDescent="0.2">
      <c r="A7" s="206"/>
      <c r="B7" s="207"/>
      <c r="C7" s="207"/>
      <c r="D7" s="11"/>
      <c r="E7" s="11"/>
      <c r="F7" s="11"/>
      <c r="G7" s="11"/>
      <c r="H7" s="11"/>
      <c r="I7" s="11"/>
      <c r="J7" s="11"/>
      <c r="K7" s="11"/>
      <c r="L7" s="11"/>
      <c r="N7" s="11"/>
      <c r="P7" s="11"/>
      <c r="Q7" s="11"/>
      <c r="R7" s="209"/>
      <c r="S7" s="206"/>
    </row>
    <row r="8" spans="1:24" x14ac:dyDescent="0.2">
      <c r="A8" s="17" t="s">
        <v>1906</v>
      </c>
      <c r="B8" s="208">
        <v>419902</v>
      </c>
      <c r="C8" s="11">
        <f>ROUND(5044174/12,0)</f>
        <v>420348</v>
      </c>
      <c r="D8" s="11">
        <v>5944626245</v>
      </c>
      <c r="E8" s="11">
        <v>-454438</v>
      </c>
      <c r="F8" s="11">
        <v>481362814</v>
      </c>
      <c r="G8" s="11">
        <f>-8476853</f>
        <v>-8476853</v>
      </c>
      <c r="H8" s="11">
        <v>-30891</v>
      </c>
      <c r="I8" s="11">
        <v>0</v>
      </c>
      <c r="J8" s="11">
        <v>458005465</v>
      </c>
      <c r="K8" s="11">
        <v>1752066.7718389735</v>
      </c>
      <c r="L8" s="11">
        <f>ROUND(D8/8784,2)</f>
        <v>676756.18</v>
      </c>
      <c r="M8" s="209">
        <v>1571845.5880222595</v>
      </c>
      <c r="N8" s="11">
        <v>1401109.3265277091</v>
      </c>
      <c r="O8" s="11">
        <v>4034432.3355209026</v>
      </c>
      <c r="P8" s="18"/>
      <c r="Q8" s="18"/>
      <c r="R8" s="18"/>
    </row>
    <row r="9" spans="1:24" x14ac:dyDescent="0.2">
      <c r="B9" s="208"/>
      <c r="D9" s="11"/>
      <c r="E9" s="11"/>
      <c r="F9" s="11"/>
      <c r="G9" s="11"/>
      <c r="H9" s="11"/>
      <c r="I9" s="11"/>
      <c r="J9" s="11"/>
      <c r="K9" s="11"/>
      <c r="L9" s="11"/>
      <c r="N9" s="11"/>
      <c r="O9" s="11"/>
      <c r="P9" s="11"/>
      <c r="Q9" s="11"/>
      <c r="R9" s="227"/>
      <c r="V9" s="221"/>
      <c r="X9" s="221"/>
    </row>
    <row r="10" spans="1:24" x14ac:dyDescent="0.2">
      <c r="A10" s="17" t="s">
        <v>1566</v>
      </c>
      <c r="B10" s="208">
        <v>82069</v>
      </c>
      <c r="C10" s="11">
        <f>ROUND(985220/12,0)</f>
        <v>82102</v>
      </c>
      <c r="D10" s="11">
        <v>1943096458</v>
      </c>
      <c r="E10" s="11">
        <v>-40427740</v>
      </c>
      <c r="F10" s="11">
        <v>184154601</v>
      </c>
      <c r="G10" s="11">
        <v>-3169217</v>
      </c>
      <c r="H10" s="11">
        <v>-3346954</v>
      </c>
      <c r="I10" s="11">
        <v>0</v>
      </c>
      <c r="J10" s="11">
        <v>182158458</v>
      </c>
      <c r="K10" s="11">
        <v>538546.47673524346</v>
      </c>
      <c r="L10" s="11">
        <f>ROUND(D10/8784,2)</f>
        <v>221208.61</v>
      </c>
      <c r="M10" s="209">
        <v>434246.25327759807</v>
      </c>
      <c r="N10" s="11">
        <v>428550.49123696168</v>
      </c>
      <c r="O10" s="11">
        <v>932584.55806526484</v>
      </c>
      <c r="P10" s="228"/>
      <c r="Q10" s="18"/>
      <c r="R10" s="18"/>
    </row>
    <row r="11" spans="1:24" x14ac:dyDescent="0.2">
      <c r="B11" s="208"/>
      <c r="D11" s="11"/>
      <c r="E11" s="11"/>
      <c r="F11" s="11"/>
      <c r="G11" s="11"/>
      <c r="H11" s="11"/>
      <c r="I11" s="11"/>
      <c r="J11" s="11"/>
      <c r="K11" s="209"/>
      <c r="N11" s="209"/>
      <c r="O11" s="209"/>
    </row>
    <row r="12" spans="1:24" x14ac:dyDescent="0.2">
      <c r="A12" s="17" t="s">
        <v>856</v>
      </c>
      <c r="B12" s="208">
        <v>643</v>
      </c>
      <c r="C12" s="11">
        <f>ROUND(7674/12,0)</f>
        <v>640</v>
      </c>
      <c r="D12" s="11">
        <v>157537383</v>
      </c>
      <c r="E12" s="11">
        <v>-301217</v>
      </c>
      <c r="F12" s="11">
        <v>11258851</v>
      </c>
      <c r="G12" s="11">
        <v>-177565</v>
      </c>
      <c r="H12" s="11">
        <v>-20438</v>
      </c>
      <c r="I12" s="11">
        <v>0</v>
      </c>
      <c r="J12" s="11">
        <v>10668266</v>
      </c>
      <c r="K12" s="11">
        <v>50815.714857272855</v>
      </c>
      <c r="L12" s="11">
        <f>ROUND(D12/8784,2)</f>
        <v>17934.580000000002</v>
      </c>
      <c r="M12" s="209">
        <v>29464.223953148026</v>
      </c>
      <c r="N12" s="11">
        <v>24503.455092086573</v>
      </c>
      <c r="O12" s="11">
        <v>55457.237580102985</v>
      </c>
      <c r="R12" s="11"/>
    </row>
    <row r="13" spans="1:24" x14ac:dyDescent="0.2">
      <c r="B13" s="208"/>
      <c r="D13" s="11"/>
      <c r="E13" s="11"/>
      <c r="F13" s="11"/>
      <c r="G13" s="11"/>
      <c r="H13" s="11"/>
      <c r="I13" s="11"/>
      <c r="J13" s="11"/>
      <c r="K13" s="11"/>
      <c r="L13" s="11"/>
      <c r="N13" s="11"/>
      <c r="O13" s="11"/>
      <c r="P13" s="11"/>
      <c r="Q13" s="11"/>
      <c r="R13" s="209"/>
    </row>
    <row r="14" spans="1:24" x14ac:dyDescent="0.2">
      <c r="A14" s="17" t="s">
        <v>2694</v>
      </c>
      <c r="B14" s="208">
        <v>5627</v>
      </c>
      <c r="C14" s="11">
        <f>ROUND(67596/12,0)</f>
        <v>5633</v>
      </c>
      <c r="D14" s="11">
        <v>3069778185</v>
      </c>
      <c r="E14" s="11">
        <v>-6968747</v>
      </c>
      <c r="F14" s="11">
        <v>225868341</v>
      </c>
      <c r="G14" s="11">
        <v>-4276826</v>
      </c>
      <c r="H14" s="11">
        <v>-1353663</v>
      </c>
      <c r="I14" s="11">
        <v>0</v>
      </c>
      <c r="J14" s="11">
        <v>221396753</v>
      </c>
      <c r="K14" s="11">
        <v>598716.00379128638</v>
      </c>
      <c r="L14" s="11">
        <f>ROUND(D14/8784,2)</f>
        <v>349473.84</v>
      </c>
      <c r="M14" s="209">
        <v>441140.77927795181</v>
      </c>
      <c r="N14" s="11">
        <v>555356.7440545127</v>
      </c>
      <c r="O14" s="11">
        <v>737213.75192446948</v>
      </c>
      <c r="P14" s="18"/>
      <c r="Q14" s="18"/>
      <c r="R14" s="18"/>
    </row>
    <row r="15" spans="1:24" x14ac:dyDescent="0.2">
      <c r="B15" s="208"/>
      <c r="D15" s="11"/>
      <c r="E15" s="11"/>
      <c r="F15" s="11"/>
      <c r="G15" s="11"/>
      <c r="H15" s="11"/>
      <c r="I15" s="11"/>
      <c r="J15" s="11"/>
      <c r="K15" s="11"/>
      <c r="L15" s="11"/>
      <c r="N15" s="11"/>
      <c r="O15" s="11"/>
      <c r="P15" s="11"/>
      <c r="Q15" s="11"/>
      <c r="R15" s="227"/>
      <c r="V15" s="221"/>
      <c r="X15" s="221"/>
    </row>
    <row r="16" spans="1:24" x14ac:dyDescent="0.2">
      <c r="A16" s="235" t="s">
        <v>2758</v>
      </c>
      <c r="B16" s="208">
        <v>298</v>
      </c>
      <c r="C16" s="11">
        <v>297</v>
      </c>
      <c r="D16" s="11">
        <f>802429053</f>
        <v>802429053</v>
      </c>
      <c r="E16" s="11">
        <v>-79259287</v>
      </c>
      <c r="F16" s="11">
        <f>52162115</f>
        <v>52162115</v>
      </c>
      <c r="G16" s="11">
        <f>-717095</f>
        <v>-717095</v>
      </c>
      <c r="H16" s="11">
        <v>-5386209</v>
      </c>
      <c r="I16" s="11">
        <v>0</v>
      </c>
      <c r="J16" s="11">
        <v>51224549</v>
      </c>
      <c r="K16" s="11">
        <f>162870.123604968</f>
        <v>162870.12360496799</v>
      </c>
      <c r="L16" s="11">
        <f>ROUND(D16/8784,2)</f>
        <v>91351.21</v>
      </c>
      <c r="M16" s="11">
        <f>108476.850623882</f>
        <v>108476.850623882</v>
      </c>
      <c r="N16" s="11">
        <f>152348.624883867</f>
        <v>152348.62488386701</v>
      </c>
      <c r="O16" s="11">
        <f>192381.268231864</f>
        <v>192381.268231864</v>
      </c>
      <c r="P16" s="11"/>
      <c r="Q16" s="11"/>
      <c r="R16" s="227"/>
      <c r="V16" s="221"/>
      <c r="X16" s="221"/>
    </row>
    <row r="17" spans="1:24" x14ac:dyDescent="0.2">
      <c r="B17" s="208"/>
      <c r="D17" s="11"/>
      <c r="E17" s="11"/>
      <c r="F17" s="11"/>
      <c r="G17" s="11"/>
      <c r="H17" s="11"/>
      <c r="I17" s="11"/>
      <c r="J17" s="11"/>
      <c r="K17" s="11"/>
      <c r="L17" s="11"/>
      <c r="N17" s="11"/>
      <c r="O17" s="11"/>
      <c r="P17" s="11"/>
      <c r="Q17" s="11"/>
      <c r="R17" s="227"/>
      <c r="V17" s="221"/>
      <c r="X17" s="221"/>
    </row>
    <row r="18" spans="1:24" x14ac:dyDescent="0.2">
      <c r="A18" s="17" t="s">
        <v>2696</v>
      </c>
      <c r="B18" s="208">
        <v>137</v>
      </c>
      <c r="C18" s="11">
        <f>ROUND(1643/12,0)</f>
        <v>137</v>
      </c>
      <c r="D18" s="11">
        <v>413123136</v>
      </c>
      <c r="E18" s="11">
        <v>40279476</v>
      </c>
      <c r="F18" s="11">
        <v>25639209</v>
      </c>
      <c r="G18" s="11">
        <v>-507052</v>
      </c>
      <c r="H18" s="11">
        <v>2518028</v>
      </c>
      <c r="I18" s="11">
        <v>0</v>
      </c>
      <c r="J18" s="11">
        <v>22889891</v>
      </c>
      <c r="K18" s="11">
        <v>79968.842563244179</v>
      </c>
      <c r="L18" s="11">
        <f>ROUND(D18/8784,2)</f>
        <v>47031.32</v>
      </c>
      <c r="M18" s="209">
        <v>59132.243505976156</v>
      </c>
      <c r="N18" s="11">
        <v>78673.404915271691</v>
      </c>
      <c r="O18" s="11">
        <v>99763.643157172846</v>
      </c>
      <c r="P18" s="18"/>
      <c r="Q18" s="18"/>
      <c r="R18" s="18"/>
    </row>
    <row r="19" spans="1:24" x14ac:dyDescent="0.2">
      <c r="D19" s="382">
        <f>F20/D20</f>
        <v>5.7531253506235232E-2</v>
      </c>
      <c r="E19" s="383">
        <f>J20/(D20+E20)</f>
        <v>5.0963272812050674E-2</v>
      </c>
      <c r="F19" s="11"/>
      <c r="G19" s="11"/>
      <c r="H19" s="11"/>
      <c r="I19" s="11"/>
      <c r="J19" s="11"/>
      <c r="K19" s="209"/>
      <c r="N19" s="209"/>
      <c r="O19" s="209"/>
    </row>
    <row r="20" spans="1:24" x14ac:dyDescent="0.2">
      <c r="A20" s="235" t="s">
        <v>2759</v>
      </c>
      <c r="B20" s="208">
        <v>167</v>
      </c>
      <c r="C20" s="11">
        <v>166</v>
      </c>
      <c r="D20" s="11">
        <f>3552305513</f>
        <v>3552305513</v>
      </c>
      <c r="E20" s="11">
        <v>59066890</v>
      </c>
      <c r="F20" s="11">
        <f>204368589</f>
        <v>204368589</v>
      </c>
      <c r="G20" s="11">
        <f>-2191634</f>
        <v>-2191634</v>
      </c>
      <c r="H20" s="11">
        <v>4955272</v>
      </c>
      <c r="I20" s="11">
        <v>-1640196</v>
      </c>
      <c r="J20" s="11">
        <v>184047357</v>
      </c>
      <c r="K20" s="11">
        <v>140645.72774208235</v>
      </c>
      <c r="L20" s="11">
        <f>ROUND(D20/8784,2)</f>
        <v>404406.37</v>
      </c>
      <c r="M20" s="209">
        <v>117411.07030688837</v>
      </c>
      <c r="N20" s="11">
        <v>125508.37442796453</v>
      </c>
      <c r="O20" s="11">
        <v>186243.55209355484</v>
      </c>
      <c r="R20" s="11"/>
    </row>
    <row r="21" spans="1:24" x14ac:dyDescent="0.2">
      <c r="D21" s="11"/>
      <c r="E21" s="11"/>
      <c r="F21" s="11"/>
      <c r="G21" s="11"/>
      <c r="H21" s="11"/>
      <c r="I21" s="11"/>
      <c r="J21" s="11"/>
      <c r="K21" s="209"/>
      <c r="N21" s="209"/>
      <c r="O21" s="209"/>
      <c r="P21" s="11"/>
      <c r="Q21" s="11"/>
      <c r="R21" s="209"/>
    </row>
    <row r="22" spans="1:24" x14ac:dyDescent="0.2">
      <c r="A22" s="17" t="s">
        <v>2285</v>
      </c>
      <c r="B22" s="208">
        <v>0</v>
      </c>
      <c r="C22" s="11">
        <v>0</v>
      </c>
      <c r="D22" s="11">
        <v>0</v>
      </c>
      <c r="E22" s="11"/>
      <c r="F22" s="11">
        <v>0</v>
      </c>
      <c r="G22" s="11">
        <v>0</v>
      </c>
      <c r="H22" s="11"/>
      <c r="I22" s="11"/>
      <c r="J22" s="11">
        <v>0</v>
      </c>
      <c r="K22" s="11">
        <f>516422.487357581</f>
        <v>516422.48735758098</v>
      </c>
      <c r="L22" s="11">
        <f>ROUND(D22/8784,2)</f>
        <v>0</v>
      </c>
      <c r="M22" s="209">
        <f>389163.916298919</f>
        <v>389163.91629891901</v>
      </c>
      <c r="N22" s="11">
        <f>433669.16953089</f>
        <v>433669.16953089001</v>
      </c>
      <c r="O22" s="11">
        <f>600380.175252287</f>
        <v>600380.17525228695</v>
      </c>
      <c r="P22" s="18"/>
      <c r="Q22" s="18"/>
      <c r="R22" s="18"/>
    </row>
    <row r="23" spans="1:24" x14ac:dyDescent="0.2">
      <c r="C23" s="215"/>
      <c r="D23" s="382"/>
      <c r="E23" s="383"/>
      <c r="F23" s="215"/>
      <c r="G23" s="215"/>
      <c r="H23" s="215"/>
      <c r="I23" s="215"/>
      <c r="J23" s="215"/>
      <c r="K23" s="11"/>
      <c r="L23" s="11"/>
      <c r="M23" s="209"/>
      <c r="N23" s="11"/>
      <c r="O23" s="11"/>
      <c r="P23" s="18"/>
      <c r="Q23" s="18"/>
      <c r="R23" s="18"/>
    </row>
    <row r="24" spans="1:24" x14ac:dyDescent="0.2">
      <c r="A24" s="17" t="s">
        <v>2761</v>
      </c>
      <c r="B24" s="208">
        <v>0</v>
      </c>
      <c r="C24" s="11">
        <f>B24</f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f>ROUND(D24/8784,2)</f>
        <v>0</v>
      </c>
      <c r="M24" s="209">
        <v>0</v>
      </c>
      <c r="N24" s="11">
        <v>0</v>
      </c>
      <c r="O24" s="11">
        <v>0</v>
      </c>
      <c r="P24" s="18"/>
      <c r="Q24" s="18"/>
      <c r="R24" s="18"/>
    </row>
    <row r="25" spans="1:24" x14ac:dyDescent="0.2">
      <c r="C25" s="215"/>
      <c r="D25" s="382"/>
      <c r="E25" s="383"/>
      <c r="F25" s="215"/>
      <c r="G25" s="215"/>
      <c r="H25" s="215"/>
      <c r="I25" s="215"/>
      <c r="J25" s="215"/>
      <c r="K25" s="11"/>
      <c r="L25" s="11"/>
      <c r="M25" s="209"/>
      <c r="N25" s="11"/>
      <c r="O25" s="11"/>
      <c r="P25" s="18"/>
      <c r="Q25" s="18"/>
      <c r="R25" s="18"/>
    </row>
    <row r="26" spans="1:24" x14ac:dyDescent="0.2">
      <c r="A26" s="17" t="s">
        <v>2286</v>
      </c>
      <c r="B26" s="208">
        <v>35</v>
      </c>
      <c r="C26" s="11">
        <f>ROUND(428/12,0)</f>
        <v>36</v>
      </c>
      <c r="D26" s="11">
        <v>1608310112</v>
      </c>
      <c r="E26" s="11">
        <f>-1973830-58030000</f>
        <v>-60003830</v>
      </c>
      <c r="F26" s="11">
        <v>85627393</v>
      </c>
      <c r="G26" s="11">
        <v>-136830</v>
      </c>
      <c r="H26" s="11">
        <v>-116695</v>
      </c>
      <c r="I26" s="11">
        <v>-2832551</v>
      </c>
      <c r="J26" s="11">
        <v>79886044</v>
      </c>
      <c r="K26" s="11">
        <v>276358.77478870715</v>
      </c>
      <c r="L26" s="11">
        <f>ROUND(D26/8784,2)</f>
        <v>183095.41</v>
      </c>
      <c r="M26" s="209">
        <v>231809.19712249225</v>
      </c>
      <c r="N26" s="11">
        <v>241913.79247426731</v>
      </c>
      <c r="O26" s="11">
        <v>309253.78986136045</v>
      </c>
      <c r="P26" s="18"/>
      <c r="Q26" s="18"/>
      <c r="R26" s="18"/>
    </row>
    <row r="27" spans="1:24" x14ac:dyDescent="0.2">
      <c r="C27" s="215"/>
      <c r="D27" s="215"/>
      <c r="E27" s="215"/>
      <c r="F27" s="215"/>
      <c r="G27" s="215"/>
      <c r="H27" s="215"/>
      <c r="I27" s="215"/>
      <c r="J27" s="215"/>
      <c r="K27" s="11"/>
      <c r="L27" s="11"/>
      <c r="M27" s="209"/>
      <c r="N27" s="11"/>
      <c r="O27" s="11"/>
      <c r="P27" s="18"/>
      <c r="Q27" s="18"/>
      <c r="R27" s="18"/>
    </row>
    <row r="28" spans="1:24" x14ac:dyDescent="0.2">
      <c r="A28" s="17" t="s">
        <v>2693</v>
      </c>
      <c r="B28" s="208">
        <v>1</v>
      </c>
      <c r="C28" s="11">
        <v>1</v>
      </c>
      <c r="D28" s="11">
        <v>546287246</v>
      </c>
      <c r="E28" s="11">
        <v>-43416000</v>
      </c>
      <c r="F28" s="11">
        <v>26235092</v>
      </c>
      <c r="G28" s="11">
        <v>0</v>
      </c>
      <c r="H28" s="11">
        <v>0</v>
      </c>
      <c r="I28" s="11">
        <v>-2008648</v>
      </c>
      <c r="J28" s="11">
        <v>24102240</v>
      </c>
      <c r="K28" s="11">
        <v>172873.78523231181</v>
      </c>
      <c r="L28" s="11">
        <f>ROUND(D28/8784,2)</f>
        <v>62191.17</v>
      </c>
      <c r="M28" s="209">
        <v>56678.221398371366</v>
      </c>
      <c r="N28" s="11">
        <v>74880.248099847784</v>
      </c>
      <c r="O28" s="11">
        <v>172873.78523231181</v>
      </c>
      <c r="P28" s="18"/>
      <c r="Q28" s="18"/>
      <c r="R28" s="18"/>
    </row>
    <row r="29" spans="1:24" x14ac:dyDescent="0.2">
      <c r="C29" s="215"/>
      <c r="D29" s="215"/>
      <c r="E29" s="215"/>
      <c r="F29" s="215"/>
      <c r="G29" s="215"/>
      <c r="H29" s="215"/>
      <c r="I29" s="215"/>
      <c r="J29" s="215"/>
      <c r="K29" s="11"/>
      <c r="L29" s="11"/>
      <c r="M29" s="209"/>
      <c r="N29" s="11"/>
      <c r="O29" s="11"/>
      <c r="P29" s="18"/>
      <c r="Q29" s="18"/>
      <c r="R29" s="18"/>
    </row>
    <row r="30" spans="1:24" x14ac:dyDescent="0.2">
      <c r="A30" s="17" t="s">
        <v>2713</v>
      </c>
      <c r="B30" s="208">
        <v>170307</v>
      </c>
      <c r="C30" s="11">
        <v>169645</v>
      </c>
      <c r="D30" s="11">
        <v>123275608</v>
      </c>
      <c r="E30" s="11"/>
      <c r="F30" s="11">
        <v>23551352</v>
      </c>
      <c r="G30" s="11">
        <v>-436325</v>
      </c>
      <c r="H30" s="11">
        <v>0</v>
      </c>
      <c r="I30" s="11"/>
      <c r="J30" s="11">
        <v>23087333</v>
      </c>
      <c r="K30" s="209">
        <v>29823.118398114009</v>
      </c>
      <c r="L30" s="11">
        <f>ROUND(D30/8784,2)</f>
        <v>14034.11</v>
      </c>
      <c r="M30" s="209">
        <v>0</v>
      </c>
      <c r="N30" s="209">
        <v>0</v>
      </c>
      <c r="O30" s="209">
        <v>29823.118398114009</v>
      </c>
      <c r="P30" s="18"/>
      <c r="Q30" s="18"/>
      <c r="R30" s="18"/>
    </row>
    <row r="31" spans="1:24" x14ac:dyDescent="0.2">
      <c r="A31" s="17"/>
      <c r="B31" s="208"/>
      <c r="D31" s="11"/>
      <c r="E31" s="11"/>
      <c r="F31" s="11"/>
      <c r="G31" s="11"/>
      <c r="H31" s="11"/>
      <c r="I31" s="11"/>
      <c r="J31" s="11"/>
      <c r="K31" s="209"/>
      <c r="L31" s="11"/>
      <c r="M31" s="209"/>
      <c r="N31" s="209"/>
      <c r="O31" s="209"/>
      <c r="P31" s="18"/>
      <c r="Q31" s="18"/>
      <c r="R31" s="18"/>
    </row>
    <row r="32" spans="1:24" x14ac:dyDescent="0.2">
      <c r="A32" s="17" t="s">
        <v>2714</v>
      </c>
      <c r="B32" s="208">
        <v>11</v>
      </c>
      <c r="C32" s="11">
        <v>11</v>
      </c>
      <c r="D32" s="11">
        <v>40050</v>
      </c>
      <c r="E32" s="11">
        <v>0</v>
      </c>
      <c r="F32" s="11">
        <v>2309</v>
      </c>
      <c r="G32" s="11">
        <v>-64</v>
      </c>
      <c r="H32" s="11">
        <v>0</v>
      </c>
      <c r="I32" s="11"/>
      <c r="J32" s="11">
        <v>2255</v>
      </c>
      <c r="K32" s="209">
        <v>9.6992001621569948</v>
      </c>
      <c r="L32" s="11">
        <f>ROUND(D32/8784,2)</f>
        <v>4.5599999999999996</v>
      </c>
      <c r="M32" s="209">
        <v>0</v>
      </c>
      <c r="N32" s="209">
        <v>0</v>
      </c>
      <c r="O32" s="209">
        <v>9.6992001621569948</v>
      </c>
      <c r="P32" s="18"/>
      <c r="Q32" s="18"/>
      <c r="R32" s="18"/>
    </row>
    <row r="33" spans="1:26" x14ac:dyDescent="0.2">
      <c r="A33" s="17"/>
      <c r="B33" s="208"/>
      <c r="D33" s="11"/>
      <c r="E33" s="11"/>
      <c r="F33" s="11"/>
      <c r="G33" s="11"/>
      <c r="H33" s="11"/>
      <c r="I33" s="11"/>
      <c r="J33" s="11"/>
      <c r="K33" s="209"/>
      <c r="L33" s="11"/>
      <c r="M33" s="209"/>
      <c r="N33" s="209"/>
      <c r="O33" s="209"/>
      <c r="P33" s="18"/>
      <c r="Q33" s="18"/>
      <c r="R33" s="18"/>
    </row>
    <row r="34" spans="1:26" x14ac:dyDescent="0.2">
      <c r="A34" s="17" t="s">
        <v>2715</v>
      </c>
      <c r="B34" s="208">
        <v>720</v>
      </c>
      <c r="C34" s="11">
        <v>674</v>
      </c>
      <c r="D34" s="11">
        <v>1118667</v>
      </c>
      <c r="E34" s="11">
        <v>853</v>
      </c>
      <c r="F34" s="11">
        <v>109808</v>
      </c>
      <c r="G34" s="11">
        <v>-3114</v>
      </c>
      <c r="H34" s="11">
        <v>70</v>
      </c>
      <c r="I34" s="11"/>
      <c r="J34" s="11">
        <v>105565</v>
      </c>
      <c r="K34" s="209">
        <v>133.33008740908227</v>
      </c>
      <c r="L34" s="11">
        <f>ROUND(D34/8784,2)</f>
        <v>127.35</v>
      </c>
      <c r="M34" s="209">
        <v>133.33008740908227</v>
      </c>
      <c r="N34" s="209">
        <v>133.33008740908227</v>
      </c>
      <c r="O34" s="209">
        <v>133.33008740908227</v>
      </c>
      <c r="P34" s="18"/>
      <c r="Q34" s="18"/>
      <c r="R34" s="18"/>
    </row>
    <row r="35" spans="1:26" x14ac:dyDescent="0.2">
      <c r="A35" s="229"/>
      <c r="B35" s="230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18"/>
      <c r="Q35" s="18"/>
      <c r="R35" s="18"/>
      <c r="T35" s="224"/>
      <c r="U35" s="224"/>
      <c r="V35" s="224"/>
      <c r="W35" s="224"/>
      <c r="X35" s="224"/>
      <c r="Y35" s="224"/>
      <c r="Z35" s="224"/>
    </row>
    <row r="36" spans="1:26" x14ac:dyDescent="0.2">
      <c r="B36" s="11">
        <f t="shared" ref="B36:O36" si="0">SUM(B8:B35)</f>
        <v>679917</v>
      </c>
      <c r="C36" s="11">
        <f t="shared" si="0"/>
        <v>679690</v>
      </c>
      <c r="D36" s="11">
        <f t="shared" si="0"/>
        <v>18161927656.057533</v>
      </c>
      <c r="E36" s="11">
        <f t="shared" si="0"/>
        <v>-131484039.94903673</v>
      </c>
      <c r="F36" s="215">
        <f t="shared" si="0"/>
        <v>1320340474</v>
      </c>
      <c r="G36" s="215">
        <f t="shared" si="0"/>
        <v>-20092575</v>
      </c>
      <c r="H36" s="215">
        <f t="shared" si="0"/>
        <v>-2781480</v>
      </c>
      <c r="I36" s="215">
        <f t="shared" si="0"/>
        <v>-6481395</v>
      </c>
      <c r="J36" s="215">
        <f>SUM(J8:J35)</f>
        <v>1257574176</v>
      </c>
      <c r="K36" s="215">
        <f t="shared" si="0"/>
        <v>4319250.8561973562</v>
      </c>
      <c r="L36" s="215">
        <f t="shared" si="0"/>
        <v>2067614.71</v>
      </c>
      <c r="M36" s="215">
        <f t="shared" si="0"/>
        <v>3439501.6738748951</v>
      </c>
      <c r="N36" s="215">
        <f t="shared" si="0"/>
        <v>3516646.9613307868</v>
      </c>
      <c r="O36" s="215">
        <f t="shared" si="0"/>
        <v>7350550.2446049759</v>
      </c>
      <c r="P36" s="18"/>
      <c r="Q36" s="18"/>
      <c r="R36" s="18"/>
      <c r="T36" s="224"/>
      <c r="U36" s="224"/>
      <c r="V36" s="224"/>
      <c r="W36" s="224"/>
      <c r="X36" s="224"/>
      <c r="Y36" s="224"/>
      <c r="Z36" s="224"/>
    </row>
    <row r="37" spans="1:26" x14ac:dyDescent="0.2">
      <c r="D37" s="215"/>
      <c r="E37" s="215"/>
      <c r="F37" s="215"/>
      <c r="G37" s="215"/>
      <c r="H37" s="215"/>
      <c r="I37" s="215"/>
      <c r="J37" s="217"/>
      <c r="K37" s="215"/>
      <c r="L37" s="218"/>
      <c r="M37" s="215"/>
      <c r="N37" s="219"/>
      <c r="O37" s="215"/>
      <c r="P37" s="18"/>
      <c r="Q37" s="18"/>
      <c r="R37" s="18"/>
      <c r="T37" s="224"/>
      <c r="U37" s="224"/>
      <c r="V37" s="224"/>
      <c r="W37" s="224"/>
      <c r="X37" s="224"/>
      <c r="Y37" s="224"/>
      <c r="Z37" s="224"/>
    </row>
    <row r="38" spans="1:26" x14ac:dyDescent="0.2">
      <c r="D38" s="11"/>
      <c r="E38" s="11"/>
      <c r="F38" s="11"/>
      <c r="G38" s="11"/>
      <c r="H38" s="11">
        <v>0</v>
      </c>
      <c r="I38" s="11">
        <v>914087</v>
      </c>
      <c r="J38" s="212" t="s">
        <v>2755</v>
      </c>
      <c r="K38" s="11"/>
      <c r="L38" s="213"/>
      <c r="M38" s="11"/>
      <c r="N38" s="214"/>
      <c r="O38" s="11"/>
      <c r="P38" s="18"/>
      <c r="Q38" s="18"/>
      <c r="R38" s="18"/>
      <c r="T38" s="224"/>
      <c r="U38" s="224"/>
      <c r="V38" s="224"/>
      <c r="W38" s="224"/>
      <c r="X38" s="224"/>
      <c r="Y38" s="224"/>
      <c r="Z38" s="224"/>
    </row>
    <row r="39" spans="1:26" x14ac:dyDescent="0.2">
      <c r="D39" s="11"/>
      <c r="E39" s="11"/>
      <c r="F39" s="11"/>
      <c r="G39" s="11"/>
      <c r="H39" s="11">
        <f>H36+H38</f>
        <v>-2781480</v>
      </c>
      <c r="I39" s="11">
        <f>I36+I38</f>
        <v>-5567308</v>
      </c>
      <c r="J39" s="212"/>
      <c r="K39" s="11"/>
      <c r="L39" s="213"/>
      <c r="M39" s="11"/>
      <c r="N39" s="214"/>
      <c r="O39" s="11"/>
      <c r="P39" s="18"/>
      <c r="Q39" s="18"/>
      <c r="R39" s="18"/>
      <c r="T39" s="224"/>
      <c r="U39" s="224"/>
      <c r="V39" s="224"/>
      <c r="W39" s="224"/>
      <c r="X39" s="224"/>
      <c r="Y39" s="224"/>
      <c r="Z39" s="224"/>
    </row>
    <row r="40" spans="1:26" x14ac:dyDescent="0.2">
      <c r="D40" s="11"/>
      <c r="E40" s="11"/>
      <c r="F40" s="11"/>
      <c r="G40" s="11"/>
      <c r="H40" s="11"/>
      <c r="I40" s="11"/>
      <c r="J40" s="11"/>
      <c r="K40" s="11"/>
      <c r="L40" s="213"/>
      <c r="M40" s="11"/>
      <c r="N40" s="214"/>
      <c r="O40" s="11"/>
      <c r="P40" s="18"/>
      <c r="Q40" s="18"/>
      <c r="R40" s="18"/>
      <c r="T40" s="224"/>
      <c r="U40" s="224"/>
      <c r="V40" s="224"/>
      <c r="W40" s="224"/>
      <c r="X40" s="224"/>
      <c r="Y40" s="224"/>
      <c r="Z40" s="224"/>
    </row>
    <row r="41" spans="1:26" x14ac:dyDescent="0.2">
      <c r="D41" s="11"/>
      <c r="E41" s="11"/>
      <c r="F41" s="11"/>
      <c r="G41" s="11"/>
      <c r="H41" s="11"/>
      <c r="I41" s="11"/>
      <c r="J41" s="212"/>
      <c r="K41" s="11"/>
      <c r="L41" s="213"/>
      <c r="M41" s="11"/>
      <c r="N41" s="214"/>
      <c r="O41" s="11"/>
      <c r="P41" s="18"/>
      <c r="Q41" s="18"/>
      <c r="R41" s="18"/>
      <c r="T41" s="224"/>
      <c r="U41" s="224"/>
      <c r="V41" s="224"/>
      <c r="W41" s="224"/>
      <c r="X41" s="224"/>
      <c r="Y41" s="224"/>
      <c r="Z41" s="224"/>
    </row>
    <row r="42" spans="1:26" x14ac:dyDescent="0.2">
      <c r="D42" s="11"/>
      <c r="E42" s="11"/>
      <c r="F42" s="11"/>
      <c r="G42" s="11"/>
      <c r="H42" s="11"/>
      <c r="I42" s="11"/>
      <c r="J42" s="212"/>
      <c r="K42" s="11"/>
      <c r="L42" s="213"/>
      <c r="M42" s="11"/>
      <c r="N42" s="214"/>
      <c r="O42" s="11"/>
      <c r="P42" s="18"/>
      <c r="Q42" s="18"/>
      <c r="R42" s="18"/>
      <c r="T42" s="224"/>
      <c r="U42" s="224"/>
      <c r="V42" s="224"/>
      <c r="W42" s="224"/>
      <c r="X42" s="224"/>
      <c r="Y42" s="224"/>
      <c r="Z42" s="224"/>
    </row>
    <row r="43" spans="1:26" ht="45" x14ac:dyDescent="0.2">
      <c r="A43" s="9" t="s">
        <v>2735</v>
      </c>
      <c r="C43" s="384" t="s">
        <v>2747</v>
      </c>
      <c r="D43" s="384" t="s">
        <v>2748</v>
      </c>
      <c r="E43" s="384"/>
      <c r="F43" s="385" t="s">
        <v>2749</v>
      </c>
      <c r="G43" s="385"/>
      <c r="H43" s="385"/>
      <c r="I43" s="385"/>
      <c r="J43" s="212"/>
      <c r="K43" s="11"/>
      <c r="L43" s="213"/>
      <c r="M43" s="11"/>
      <c r="N43" s="214"/>
      <c r="O43" s="11"/>
      <c r="P43" s="18"/>
      <c r="Q43" s="18"/>
      <c r="R43" s="18"/>
      <c r="T43" s="224"/>
      <c r="U43" s="224"/>
      <c r="V43" s="224"/>
      <c r="W43" s="224"/>
      <c r="X43" s="224"/>
      <c r="Y43" s="224"/>
      <c r="Z43" s="224"/>
    </row>
    <row r="44" spans="1:26" x14ac:dyDescent="0.2">
      <c r="A44" s="9" t="s">
        <v>2736</v>
      </c>
      <c r="B44" s="11">
        <v>3881936.77</v>
      </c>
      <c r="C44" s="386">
        <f>'Jurisdictional Study'!$F$333</f>
        <v>0.86756687854205383</v>
      </c>
      <c r="D44" s="11">
        <f>B44*C44</f>
        <v>3367839.7662465228</v>
      </c>
      <c r="E44" s="11"/>
      <c r="F44" s="119" t="s">
        <v>2352</v>
      </c>
      <c r="G44" s="119"/>
      <c r="H44" s="119"/>
      <c r="I44" s="119"/>
      <c r="J44" s="212"/>
      <c r="K44" s="11"/>
      <c r="L44" s="213"/>
      <c r="M44" s="11"/>
      <c r="N44" s="214"/>
      <c r="O44" s="11"/>
      <c r="P44" s="18"/>
      <c r="Q44" s="18"/>
      <c r="R44" s="18"/>
      <c r="T44" s="224"/>
      <c r="U44" s="224"/>
      <c r="V44" s="224"/>
      <c r="W44" s="224"/>
      <c r="X44" s="224"/>
      <c r="Y44" s="224"/>
      <c r="Z44" s="224"/>
    </row>
    <row r="45" spans="1:26" x14ac:dyDescent="0.2">
      <c r="A45" s="9" t="s">
        <v>2737</v>
      </c>
      <c r="B45" s="11">
        <v>26320103.5</v>
      </c>
      <c r="C45" s="386">
        <f>'Jurisdictional Study'!$F$333</f>
        <v>0.86756687854205383</v>
      </c>
      <c r="D45" s="11">
        <f>B45*C45</f>
        <v>22834450.036398787</v>
      </c>
      <c r="E45" s="11"/>
      <c r="F45" s="37" t="s">
        <v>1473</v>
      </c>
      <c r="G45" s="37"/>
      <c r="H45" s="37"/>
      <c r="I45" s="37"/>
      <c r="J45" s="212"/>
      <c r="K45" s="11"/>
      <c r="L45" s="213"/>
      <c r="M45" s="11"/>
      <c r="N45" s="214"/>
      <c r="O45" s="11"/>
      <c r="P45" s="18"/>
      <c r="Q45" s="18"/>
      <c r="R45" s="18"/>
      <c r="T45" s="224"/>
      <c r="U45" s="224"/>
      <c r="V45" s="224"/>
      <c r="W45" s="224"/>
      <c r="X45" s="224"/>
      <c r="Y45" s="224"/>
      <c r="Z45" s="224"/>
    </row>
    <row r="46" spans="1:26" x14ac:dyDescent="0.2">
      <c r="A46" s="9" t="s">
        <v>2738</v>
      </c>
      <c r="B46" s="11">
        <v>2912962</v>
      </c>
      <c r="C46" s="386">
        <f>'Jurisdictional Study'!$F$333</f>
        <v>0.86756687854205383</v>
      </c>
      <c r="D46" s="11">
        <f>B46*C46</f>
        <v>2527189.3496516184</v>
      </c>
      <c r="E46" s="11"/>
      <c r="F46" s="119" t="s">
        <v>2352</v>
      </c>
      <c r="G46" s="119"/>
      <c r="H46" s="119"/>
      <c r="I46" s="119"/>
      <c r="J46" s="212"/>
      <c r="K46" s="11"/>
      <c r="L46" s="213"/>
      <c r="M46" s="11"/>
      <c r="N46" s="214"/>
      <c r="O46" s="11"/>
      <c r="P46" s="18"/>
      <c r="Q46" s="18"/>
      <c r="R46" s="18"/>
    </row>
    <row r="47" spans="1:26" x14ac:dyDescent="0.2">
      <c r="A47" s="9" t="s">
        <v>2739</v>
      </c>
      <c r="B47" s="11">
        <v>211887.8</v>
      </c>
      <c r="C47" s="386">
        <f>'Jurisdictional Study'!$F$333</f>
        <v>0.86756687854205383</v>
      </c>
      <c r="D47" s="11">
        <f>B47*C47</f>
        <v>183826.83724714298</v>
      </c>
      <c r="E47" s="11"/>
      <c r="F47" s="119" t="s">
        <v>1016</v>
      </c>
      <c r="G47" s="119"/>
      <c r="H47" s="119"/>
      <c r="I47" s="119"/>
      <c r="J47" s="212"/>
      <c r="K47" s="11"/>
      <c r="L47" s="213"/>
      <c r="M47" s="11"/>
      <c r="N47" s="214"/>
      <c r="O47" s="11"/>
      <c r="P47" s="18"/>
      <c r="Q47" s="18"/>
      <c r="R47" s="18"/>
    </row>
    <row r="48" spans="1:26" x14ac:dyDescent="0.2">
      <c r="A48" s="9" t="s">
        <v>2740</v>
      </c>
      <c r="B48" s="11">
        <v>-551781.43000000005</v>
      </c>
      <c r="C48" s="386">
        <f>'Jurisdictional Study'!$F$333</f>
        <v>0.86756687854205383</v>
      </c>
      <c r="D48" s="11">
        <f>B48*C48</f>
        <v>-478707.29286257084</v>
      </c>
      <c r="E48" s="11"/>
      <c r="F48" s="119" t="s">
        <v>1016</v>
      </c>
      <c r="G48" s="119"/>
      <c r="H48" s="119"/>
      <c r="I48" s="119"/>
      <c r="J48" s="212"/>
      <c r="K48" s="11"/>
      <c r="L48" s="213"/>
      <c r="M48" s="11"/>
      <c r="N48" s="214"/>
      <c r="O48" s="11"/>
      <c r="P48" s="18"/>
      <c r="Q48" s="18"/>
      <c r="R48" s="18"/>
    </row>
    <row r="49" spans="1:18" x14ac:dyDescent="0.2">
      <c r="A49" s="235" t="s">
        <v>2741</v>
      </c>
      <c r="B49" s="11">
        <f>SUM(B44:B48)</f>
        <v>32775108.640000001</v>
      </c>
      <c r="D49" s="11">
        <f>SUM(D44:D48)</f>
        <v>28434598.696681503</v>
      </c>
      <c r="E49" s="11"/>
      <c r="F49" s="11"/>
      <c r="G49" s="11"/>
      <c r="H49" s="11"/>
      <c r="I49" s="11"/>
      <c r="J49" s="212"/>
      <c r="K49" s="224"/>
      <c r="L49" s="223"/>
      <c r="M49" s="224"/>
      <c r="N49" s="223"/>
      <c r="O49" s="11"/>
      <c r="P49" s="18"/>
      <c r="Q49" s="18"/>
      <c r="R49" s="18"/>
    </row>
    <row r="50" spans="1:18" x14ac:dyDescent="0.2">
      <c r="A50" s="387" t="s">
        <v>2742</v>
      </c>
      <c r="D50" s="11"/>
      <c r="E50" s="11"/>
      <c r="F50" s="11"/>
      <c r="G50" s="11"/>
      <c r="H50" s="11"/>
      <c r="I50" s="11"/>
      <c r="J50" s="212"/>
      <c r="K50" s="224"/>
      <c r="L50" s="223"/>
      <c r="M50" s="224"/>
      <c r="N50" s="223"/>
      <c r="O50" s="11"/>
      <c r="P50" s="18"/>
      <c r="Q50" s="18"/>
      <c r="R50" s="18"/>
    </row>
    <row r="51" spans="1:18" x14ac:dyDescent="0.2">
      <c r="A51" s="9" t="s">
        <v>2743</v>
      </c>
      <c r="B51" s="11">
        <f>'Jurisdictional Study'!D909</f>
        <v>2912962.3200000003</v>
      </c>
      <c r="C51" s="386">
        <f>'Jurisdictional Study'!$F$333</f>
        <v>0.86756687854205383</v>
      </c>
      <c r="D51" s="11">
        <f>C51*B51</f>
        <v>2527189.6272730194</v>
      </c>
      <c r="E51" s="11"/>
      <c r="F51" s="11"/>
      <c r="G51" s="11"/>
      <c r="H51" s="11"/>
      <c r="I51" s="11"/>
      <c r="J51" s="212"/>
      <c r="K51" s="224"/>
      <c r="L51" s="223"/>
      <c r="M51" s="224"/>
      <c r="N51" s="223"/>
      <c r="O51" s="11"/>
      <c r="P51" s="18"/>
      <c r="Q51" s="18"/>
      <c r="R51" s="18"/>
    </row>
    <row r="52" spans="1:18" x14ac:dyDescent="0.2">
      <c r="A52" s="9" t="s">
        <v>2744</v>
      </c>
      <c r="B52" s="11">
        <f>'Jurisdictional Study'!D911</f>
        <v>0</v>
      </c>
      <c r="C52" s="386"/>
      <c r="D52" s="11"/>
      <c r="E52" s="11"/>
      <c r="F52" s="11"/>
      <c r="G52" s="11"/>
      <c r="H52" s="11"/>
      <c r="I52" s="11"/>
      <c r="J52" s="212"/>
      <c r="K52" s="224"/>
      <c r="L52" s="223"/>
      <c r="M52" s="224"/>
      <c r="N52" s="223"/>
      <c r="O52" s="11"/>
      <c r="P52" s="18"/>
      <c r="Q52" s="18"/>
      <c r="R52" s="18"/>
    </row>
    <row r="53" spans="1:18" x14ac:dyDescent="0.2">
      <c r="A53" s="9" t="s">
        <v>2745</v>
      </c>
      <c r="B53" s="11">
        <f>'Jurisdictional Study'!D912</f>
        <v>29862147</v>
      </c>
      <c r="C53" s="386">
        <f>'Jurisdictional Study'!$F$333</f>
        <v>0.86756687854205383</v>
      </c>
      <c r="D53" s="11">
        <f>C53*B53</f>
        <v>25907409.659353957</v>
      </c>
      <c r="E53" s="11"/>
      <c r="F53" s="11"/>
      <c r="G53" s="11"/>
      <c r="H53" s="11"/>
      <c r="I53" s="11"/>
      <c r="J53" s="212"/>
      <c r="K53" s="224"/>
      <c r="L53" s="223"/>
      <c r="M53" s="224"/>
      <c r="N53" s="223"/>
      <c r="O53" s="11"/>
      <c r="P53" s="18"/>
      <c r="Q53" s="18"/>
      <c r="R53" s="18"/>
    </row>
    <row r="54" spans="1:18" x14ac:dyDescent="0.2">
      <c r="A54" s="235" t="s">
        <v>2746</v>
      </c>
      <c r="B54" s="11">
        <f>SUM(B51:B53)</f>
        <v>32775109.32</v>
      </c>
      <c r="D54" s="11">
        <f>SUM(D51:D53)</f>
        <v>28434599.286626976</v>
      </c>
      <c r="E54" s="11"/>
      <c r="F54" s="11"/>
      <c r="G54" s="11"/>
      <c r="H54" s="11"/>
      <c r="I54" s="11"/>
      <c r="J54" s="212"/>
      <c r="K54" s="224"/>
      <c r="L54" s="224"/>
      <c r="M54" s="224"/>
      <c r="N54" s="224"/>
      <c r="O54" s="11"/>
      <c r="P54" s="18"/>
      <c r="Q54" s="18"/>
      <c r="R54" s="18"/>
    </row>
    <row r="55" spans="1:18" x14ac:dyDescent="0.2">
      <c r="D55" s="11"/>
      <c r="E55" s="11"/>
      <c r="F55" s="11"/>
      <c r="G55" s="11"/>
      <c r="H55" s="11"/>
      <c r="I55" s="11"/>
      <c r="J55" s="212"/>
      <c r="K55" s="224"/>
      <c r="L55" s="224"/>
      <c r="M55" s="224"/>
      <c r="N55" s="224"/>
      <c r="O55" s="11"/>
      <c r="P55" s="18"/>
      <c r="Q55" s="18"/>
      <c r="R55" s="18"/>
    </row>
    <row r="56" spans="1:18" x14ac:dyDescent="0.2">
      <c r="D56" s="11"/>
      <c r="E56" s="11"/>
      <c r="F56" s="11"/>
      <c r="G56" s="11"/>
      <c r="H56" s="11"/>
      <c r="I56" s="11"/>
      <c r="J56" s="212"/>
      <c r="K56" s="224"/>
      <c r="L56" s="224"/>
      <c r="M56" s="224"/>
      <c r="N56" s="224"/>
      <c r="O56" s="11"/>
      <c r="P56" s="18"/>
      <c r="Q56" s="18"/>
      <c r="R56" s="18"/>
    </row>
    <row r="57" spans="1:18" x14ac:dyDescent="0.2">
      <c r="D57" s="11"/>
      <c r="E57" s="11"/>
      <c r="F57" s="11"/>
      <c r="G57" s="11"/>
      <c r="H57" s="11"/>
      <c r="I57" s="11"/>
      <c r="J57" s="212"/>
      <c r="K57" s="224"/>
      <c r="L57" s="224"/>
      <c r="M57" s="224"/>
      <c r="N57" s="224"/>
      <c r="O57" s="11"/>
      <c r="P57" s="18"/>
      <c r="Q57" s="18"/>
      <c r="R57" s="18"/>
    </row>
    <row r="58" spans="1:18" x14ac:dyDescent="0.2">
      <c r="D58" s="11"/>
      <c r="E58" s="11"/>
      <c r="F58" s="11"/>
      <c r="G58" s="11"/>
      <c r="H58" s="11"/>
      <c r="I58" s="11"/>
      <c r="J58" s="212"/>
      <c r="K58" s="224"/>
      <c r="L58" s="224"/>
      <c r="M58" s="224"/>
      <c r="N58" s="224"/>
      <c r="O58" s="11"/>
      <c r="P58" s="18"/>
      <c r="Q58" s="18"/>
      <c r="R58" s="18"/>
    </row>
    <row r="59" spans="1:18" x14ac:dyDescent="0.2">
      <c r="D59" s="11"/>
      <c r="E59" s="11"/>
      <c r="F59" s="11"/>
      <c r="G59" s="11"/>
      <c r="H59" s="11"/>
      <c r="I59" s="11"/>
      <c r="J59" s="212"/>
      <c r="K59" s="224"/>
      <c r="L59" s="224"/>
      <c r="M59" s="224"/>
      <c r="N59" s="224"/>
      <c r="O59" s="11"/>
      <c r="P59" s="18"/>
      <c r="Q59" s="18"/>
      <c r="R59" s="18"/>
    </row>
    <row r="60" spans="1:18" x14ac:dyDescent="0.2">
      <c r="D60" s="11"/>
      <c r="E60" s="11"/>
      <c r="F60" s="11"/>
      <c r="G60" s="11"/>
      <c r="H60" s="11"/>
      <c r="I60" s="11"/>
      <c r="J60" s="212"/>
      <c r="K60" s="224"/>
      <c r="L60" s="224"/>
      <c r="M60" s="224"/>
      <c r="N60" s="224"/>
      <c r="O60" s="11"/>
      <c r="P60" s="18"/>
      <c r="Q60" s="18"/>
      <c r="R60" s="18"/>
    </row>
    <row r="61" spans="1:18" x14ac:dyDescent="0.2">
      <c r="D61" s="11"/>
      <c r="E61" s="11"/>
      <c r="F61" s="11"/>
      <c r="G61" s="11"/>
      <c r="H61" s="11"/>
      <c r="I61" s="11"/>
      <c r="J61" s="212"/>
      <c r="K61" s="224"/>
      <c r="L61" s="224"/>
      <c r="M61" s="224"/>
      <c r="N61" s="224"/>
      <c r="O61" s="11"/>
      <c r="P61" s="18"/>
      <c r="Q61" s="18"/>
      <c r="R61" s="18"/>
    </row>
    <row r="62" spans="1:18" x14ac:dyDescent="0.2">
      <c r="D62" s="11"/>
      <c r="E62" s="11"/>
      <c r="F62" s="11"/>
      <c r="G62" s="11"/>
      <c r="H62" s="11"/>
      <c r="I62" s="11"/>
      <c r="J62" s="212"/>
      <c r="K62" s="11"/>
      <c r="L62" s="213"/>
      <c r="M62" s="11"/>
      <c r="N62" s="214"/>
      <c r="O62" s="11"/>
      <c r="P62" s="18"/>
      <c r="Q62" s="18"/>
      <c r="R62" s="18"/>
    </row>
    <row r="63" spans="1:18" x14ac:dyDescent="0.2">
      <c r="D63" s="11"/>
      <c r="E63" s="11"/>
      <c r="F63" s="11"/>
      <c r="G63" s="11"/>
      <c r="H63" s="11"/>
      <c r="I63" s="11"/>
      <c r="J63" s="212"/>
      <c r="K63" s="11"/>
      <c r="L63" s="213"/>
      <c r="M63" s="11"/>
      <c r="N63" s="214"/>
      <c r="O63" s="11"/>
      <c r="P63" s="18"/>
      <c r="Q63" s="18"/>
      <c r="R63" s="18"/>
    </row>
    <row r="64" spans="1:18" x14ac:dyDescent="0.2">
      <c r="D64" s="11"/>
      <c r="E64" s="11"/>
      <c r="F64" s="11"/>
      <c r="G64" s="11"/>
      <c r="H64" s="11"/>
      <c r="I64" s="11"/>
      <c r="J64" s="212"/>
      <c r="K64" s="11"/>
      <c r="L64" s="213"/>
      <c r="M64" s="11"/>
      <c r="N64" s="214"/>
      <c r="O64" s="11"/>
      <c r="P64" s="18"/>
      <c r="Q64" s="18"/>
      <c r="R64" s="18"/>
    </row>
    <row r="65" spans="1:24" x14ac:dyDescent="0.2">
      <c r="D65" s="11"/>
      <c r="E65" s="11"/>
      <c r="F65" s="11"/>
      <c r="G65" s="11"/>
      <c r="H65" s="11"/>
      <c r="I65" s="11"/>
      <c r="J65" s="212"/>
      <c r="K65" s="11"/>
      <c r="L65" s="213"/>
      <c r="M65" s="11"/>
      <c r="N65" s="214"/>
      <c r="O65" s="11"/>
      <c r="P65" s="18"/>
      <c r="Q65" s="18"/>
      <c r="R65" s="18"/>
    </row>
    <row r="66" spans="1:24" x14ac:dyDescent="0.2">
      <c r="D66" s="11"/>
      <c r="E66" s="11"/>
      <c r="F66" s="11"/>
      <c r="G66" s="11"/>
      <c r="H66" s="11"/>
      <c r="I66" s="11"/>
      <c r="J66" s="212"/>
      <c r="K66" s="11"/>
      <c r="L66" s="213"/>
      <c r="M66" s="11"/>
      <c r="N66" s="214"/>
      <c r="O66" s="11"/>
      <c r="P66" s="18"/>
      <c r="Q66" s="18"/>
      <c r="R66" s="18"/>
    </row>
    <row r="67" spans="1:24" x14ac:dyDescent="0.2">
      <c r="D67" s="11"/>
      <c r="E67" s="11"/>
      <c r="F67" s="11"/>
      <c r="G67" s="11"/>
      <c r="H67" s="11"/>
      <c r="I67" s="11"/>
      <c r="J67" s="212"/>
      <c r="K67" s="11"/>
      <c r="L67" s="213"/>
      <c r="M67" s="11"/>
      <c r="N67" s="214"/>
      <c r="O67" s="11"/>
      <c r="P67" s="18"/>
      <c r="Q67" s="18"/>
      <c r="R67" s="18"/>
    </row>
    <row r="68" spans="1:24" x14ac:dyDescent="0.2">
      <c r="D68" s="11"/>
      <c r="E68" s="11"/>
      <c r="F68" s="11"/>
      <c r="G68" s="11"/>
      <c r="H68" s="11"/>
      <c r="I68" s="11"/>
      <c r="J68" s="212"/>
      <c r="K68" s="11"/>
      <c r="L68" s="213"/>
      <c r="M68" s="11"/>
      <c r="N68" s="214"/>
      <c r="O68" s="11"/>
      <c r="P68" s="18"/>
      <c r="Q68" s="18"/>
      <c r="R68" s="18"/>
    </row>
    <row r="69" spans="1:24" x14ac:dyDescent="0.2">
      <c r="D69" s="11"/>
      <c r="E69" s="11"/>
      <c r="F69" s="11"/>
      <c r="G69" s="11"/>
      <c r="H69" s="11"/>
      <c r="I69" s="11"/>
      <c r="J69" s="212"/>
      <c r="K69" s="11"/>
      <c r="L69" s="213"/>
      <c r="M69" s="11"/>
      <c r="N69" s="214"/>
      <c r="O69" s="11"/>
      <c r="P69" s="18"/>
      <c r="Q69" s="18"/>
      <c r="R69" s="18"/>
    </row>
    <row r="70" spans="1:24" x14ac:dyDescent="0.2">
      <c r="N70" s="214"/>
      <c r="O70" s="11"/>
      <c r="P70" s="18"/>
      <c r="Q70" s="18"/>
      <c r="R70" s="18"/>
    </row>
    <row r="71" spans="1:24" x14ac:dyDescent="0.2">
      <c r="D71" s="11"/>
      <c r="E71" s="11"/>
      <c r="F71" s="11"/>
      <c r="G71" s="11"/>
      <c r="H71" s="11"/>
      <c r="I71" s="11"/>
      <c r="J71" s="212"/>
      <c r="K71" s="11"/>
      <c r="L71" s="213"/>
      <c r="M71" s="11"/>
      <c r="N71" s="214"/>
      <c r="O71" s="11"/>
      <c r="P71" s="18"/>
      <c r="Q71" s="18"/>
      <c r="R71" s="18"/>
    </row>
    <row r="72" spans="1:24" x14ac:dyDescent="0.2">
      <c r="D72" s="11"/>
      <c r="E72" s="11"/>
      <c r="F72" s="11"/>
      <c r="G72" s="11"/>
      <c r="H72" s="11"/>
      <c r="I72" s="11"/>
      <c r="J72" s="212"/>
      <c r="K72" s="11"/>
      <c r="L72" s="213"/>
      <c r="M72" s="11"/>
      <c r="N72" s="214"/>
      <c r="O72" s="11"/>
      <c r="P72" s="18"/>
      <c r="Q72" s="18"/>
      <c r="R72" s="18"/>
    </row>
    <row r="73" spans="1:24" x14ac:dyDescent="0.2">
      <c r="A73" s="206"/>
      <c r="B73" s="207"/>
      <c r="C73" s="207"/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W73" s="208"/>
      <c r="X73" s="208"/>
    </row>
    <row r="74" spans="1:24" x14ac:dyDescent="0.2">
      <c r="A74" s="206"/>
      <c r="B74" s="207"/>
      <c r="C74" s="207"/>
      <c r="D74" s="208"/>
      <c r="E74" s="208"/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</row>
    <row r="75" spans="1:24" x14ac:dyDescent="0.2">
      <c r="A75" s="8"/>
      <c r="B75" s="10"/>
      <c r="C75" s="10"/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9"/>
    </row>
    <row r="76" spans="1:24" x14ac:dyDescent="0.2"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</row>
    <row r="77" spans="1:24" x14ac:dyDescent="0.2"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10"/>
      <c r="P77" s="211"/>
    </row>
    <row r="78" spans="1:24" x14ac:dyDescent="0.2"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9"/>
      <c r="R78" s="209"/>
    </row>
    <row r="79" spans="1:24" x14ac:dyDescent="0.2">
      <c r="D79" s="210"/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10"/>
      <c r="P79" s="210"/>
    </row>
    <row r="80" spans="1:24" x14ac:dyDescent="0.2">
      <c r="D80" s="208"/>
      <c r="E80" s="208"/>
      <c r="F80" s="208"/>
      <c r="G80" s="208"/>
      <c r="H80" s="208"/>
      <c r="I80" s="208"/>
      <c r="J80" s="208"/>
      <c r="K80" s="208"/>
      <c r="L80" s="208"/>
      <c r="M80" s="208"/>
      <c r="N80" s="208"/>
      <c r="O80" s="208"/>
      <c r="P80" s="208"/>
      <c r="Q80" s="209"/>
      <c r="S80" s="209"/>
      <c r="T80" s="209"/>
      <c r="U80" s="209"/>
    </row>
    <row r="81" spans="1:20" x14ac:dyDescent="0.2">
      <c r="D81" s="210"/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10"/>
      <c r="P81" s="208"/>
      <c r="Q81" s="209"/>
    </row>
    <row r="82" spans="1:20" x14ac:dyDescent="0.2">
      <c r="D82" s="208"/>
      <c r="E82" s="208"/>
      <c r="F82" s="208"/>
      <c r="G82" s="208"/>
      <c r="H82" s="208"/>
      <c r="I82" s="208"/>
      <c r="J82" s="208"/>
      <c r="K82" s="208"/>
      <c r="L82" s="208"/>
      <c r="M82" s="208"/>
      <c r="N82" s="208"/>
      <c r="O82" s="208"/>
      <c r="P82" s="208"/>
      <c r="Q82" s="209"/>
      <c r="R82" s="209"/>
    </row>
    <row r="83" spans="1:20" x14ac:dyDescent="0.2">
      <c r="A83" s="206"/>
      <c r="B83" s="207"/>
      <c r="C83" s="207"/>
      <c r="D83" s="208"/>
      <c r="E83" s="208"/>
      <c r="F83" s="208"/>
      <c r="G83" s="208"/>
      <c r="H83" s="208"/>
      <c r="I83" s="208"/>
      <c r="J83" s="208"/>
      <c r="K83" s="208"/>
      <c r="L83" s="208"/>
      <c r="M83" s="208"/>
      <c r="N83" s="208"/>
      <c r="O83" s="208"/>
      <c r="P83" s="208"/>
    </row>
    <row r="84" spans="1:20" x14ac:dyDescent="0.2">
      <c r="A84" s="8"/>
      <c r="B84" s="10"/>
      <c r="C84" s="10"/>
      <c r="D84" s="208"/>
      <c r="E84" s="208"/>
      <c r="F84" s="208"/>
      <c r="G84" s="208"/>
      <c r="H84" s="208"/>
      <c r="I84" s="208"/>
      <c r="J84" s="208"/>
      <c r="K84" s="208"/>
      <c r="L84" s="208"/>
      <c r="M84" s="208"/>
      <c r="N84" s="208"/>
      <c r="O84" s="208"/>
      <c r="P84" s="208"/>
      <c r="Q84" s="209"/>
    </row>
    <row r="85" spans="1:20" x14ac:dyDescent="0.2">
      <c r="D85" s="208"/>
      <c r="E85" s="208"/>
      <c r="F85" s="208"/>
      <c r="G85" s="208"/>
      <c r="H85" s="208"/>
      <c r="I85" s="208"/>
      <c r="J85" s="208"/>
      <c r="K85" s="208"/>
      <c r="L85" s="208"/>
      <c r="M85" s="208"/>
      <c r="N85" s="208"/>
      <c r="O85" s="208"/>
      <c r="P85" s="208"/>
    </row>
    <row r="86" spans="1:20" x14ac:dyDescent="0.2"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10"/>
      <c r="P86" s="211"/>
    </row>
    <row r="87" spans="1:20" x14ac:dyDescent="0.2">
      <c r="D87" s="208"/>
      <c r="E87" s="208"/>
      <c r="F87" s="208"/>
      <c r="G87" s="208"/>
      <c r="H87" s="208"/>
      <c r="I87" s="208"/>
      <c r="J87" s="208"/>
      <c r="K87" s="208"/>
      <c r="L87" s="208"/>
      <c r="M87" s="208"/>
      <c r="N87" s="208"/>
      <c r="O87" s="208"/>
      <c r="P87" s="208"/>
      <c r="Q87" s="209"/>
      <c r="R87" s="209"/>
    </row>
    <row r="88" spans="1:20" x14ac:dyDescent="0.2"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10"/>
      <c r="P88" s="210"/>
    </row>
    <row r="89" spans="1:20" x14ac:dyDescent="0.2">
      <c r="D89" s="208"/>
      <c r="E89" s="208"/>
      <c r="F89" s="208"/>
      <c r="G89" s="208"/>
      <c r="H89" s="208"/>
      <c r="I89" s="208"/>
      <c r="J89" s="208"/>
      <c r="K89" s="208"/>
      <c r="L89" s="208"/>
      <c r="M89" s="208"/>
      <c r="N89" s="208"/>
      <c r="O89" s="208"/>
      <c r="P89" s="208"/>
      <c r="Q89" s="209"/>
      <c r="S89" s="209"/>
      <c r="T89" s="209"/>
    </row>
    <row r="90" spans="1:20" x14ac:dyDescent="0.2"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10"/>
      <c r="P90" s="208"/>
      <c r="Q90" s="209"/>
    </row>
    <row r="91" spans="1:20" x14ac:dyDescent="0.2">
      <c r="D91" s="208"/>
      <c r="E91" s="208"/>
      <c r="F91" s="208"/>
      <c r="G91" s="208"/>
      <c r="H91" s="208"/>
      <c r="I91" s="208"/>
      <c r="J91" s="208"/>
      <c r="K91" s="208"/>
      <c r="L91" s="208"/>
      <c r="M91" s="208"/>
      <c r="N91" s="208"/>
      <c r="O91" s="208"/>
      <c r="P91" s="208"/>
      <c r="Q91" s="209"/>
      <c r="R91" s="209"/>
    </row>
    <row r="92" spans="1:20" x14ac:dyDescent="0.2">
      <c r="A92" s="206"/>
      <c r="B92" s="207"/>
      <c r="C92" s="207"/>
      <c r="D92" s="11"/>
      <c r="E92" s="11"/>
      <c r="F92" s="11"/>
      <c r="G92" s="11"/>
      <c r="H92" s="11"/>
      <c r="I92" s="11"/>
      <c r="J92" s="212"/>
      <c r="K92" s="11"/>
      <c r="L92" s="213"/>
      <c r="M92" s="11"/>
      <c r="N92" s="214"/>
      <c r="O92" s="11"/>
      <c r="R92" s="209"/>
    </row>
    <row r="93" spans="1:20" x14ac:dyDescent="0.2">
      <c r="A93" s="8"/>
      <c r="B93" s="10"/>
      <c r="C93" s="10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208"/>
      <c r="Q93" s="209"/>
      <c r="R93" s="209"/>
    </row>
    <row r="94" spans="1:20" x14ac:dyDescent="0.2">
      <c r="D94" s="208"/>
      <c r="E94" s="208"/>
      <c r="F94" s="208"/>
      <c r="G94" s="208"/>
      <c r="H94" s="208"/>
      <c r="I94" s="208"/>
      <c r="J94" s="208"/>
      <c r="K94" s="208"/>
      <c r="L94" s="208"/>
      <c r="M94" s="208"/>
      <c r="N94" s="208"/>
      <c r="O94" s="208"/>
      <c r="P94" s="208"/>
      <c r="Q94" s="11"/>
      <c r="R94" s="209"/>
    </row>
    <row r="95" spans="1:20" x14ac:dyDescent="0.2">
      <c r="D95" s="210"/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10"/>
      <c r="P95" s="208"/>
      <c r="Q95" s="11"/>
      <c r="R95" s="209"/>
    </row>
    <row r="96" spans="1:20" x14ac:dyDescent="0.2">
      <c r="D96" s="208"/>
      <c r="E96" s="208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9"/>
      <c r="R96" s="209"/>
    </row>
    <row r="97" spans="1:24" x14ac:dyDescent="0.2">
      <c r="D97" s="210"/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11"/>
      <c r="R97" s="209"/>
    </row>
    <row r="98" spans="1:24" x14ac:dyDescent="0.2">
      <c r="D98" s="208"/>
      <c r="E98" s="208"/>
      <c r="F98" s="208"/>
      <c r="G98" s="208"/>
      <c r="H98" s="208"/>
      <c r="I98" s="208"/>
      <c r="J98" s="208"/>
      <c r="K98" s="208"/>
      <c r="L98" s="208"/>
      <c r="M98" s="208"/>
      <c r="N98" s="208"/>
      <c r="O98" s="208"/>
      <c r="P98" s="208"/>
      <c r="Q98" s="209"/>
      <c r="R98" s="209"/>
      <c r="S98" s="209"/>
      <c r="T98" s="209"/>
    </row>
    <row r="99" spans="1:24" x14ac:dyDescent="0.2"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08"/>
      <c r="Q99" s="209"/>
    </row>
    <row r="100" spans="1:24" x14ac:dyDescent="0.2">
      <c r="D100" s="208"/>
      <c r="E100" s="208"/>
      <c r="F100" s="208"/>
      <c r="G100" s="208"/>
      <c r="H100" s="208"/>
      <c r="I100" s="208"/>
      <c r="J100" s="208"/>
      <c r="K100" s="208"/>
      <c r="L100" s="208"/>
      <c r="M100" s="208"/>
      <c r="N100" s="208"/>
      <c r="O100" s="208"/>
      <c r="P100" s="208"/>
      <c r="Q100" s="209"/>
      <c r="R100" s="209"/>
    </row>
    <row r="101" spans="1:24" x14ac:dyDescent="0.2">
      <c r="A101" s="206"/>
      <c r="B101" s="207"/>
      <c r="C101" s="207"/>
      <c r="D101" s="215"/>
      <c r="E101" s="215"/>
      <c r="F101" s="216"/>
      <c r="G101" s="216"/>
      <c r="H101" s="216"/>
      <c r="I101" s="216"/>
      <c r="J101" s="217"/>
      <c r="K101" s="215"/>
      <c r="L101" s="218"/>
      <c r="M101" s="215"/>
      <c r="N101" s="219"/>
      <c r="O101" s="215"/>
      <c r="P101" s="18"/>
      <c r="Q101" s="18"/>
      <c r="R101" s="18"/>
    </row>
    <row r="102" spans="1:24" x14ac:dyDescent="0.2">
      <c r="A102" s="8"/>
      <c r="B102" s="10"/>
      <c r="C102" s="10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208"/>
      <c r="Q102" s="209"/>
      <c r="R102" s="209"/>
    </row>
    <row r="103" spans="1:24" x14ac:dyDescent="0.2">
      <c r="D103" s="208"/>
      <c r="E103" s="208"/>
      <c r="F103" s="208"/>
      <c r="G103" s="208"/>
      <c r="H103" s="208"/>
      <c r="I103" s="208"/>
      <c r="J103" s="208"/>
      <c r="K103" s="208"/>
      <c r="L103" s="208"/>
      <c r="M103" s="208"/>
      <c r="N103" s="208"/>
      <c r="O103" s="208"/>
      <c r="P103" s="208"/>
      <c r="R103" s="209"/>
    </row>
    <row r="104" spans="1:24" x14ac:dyDescent="0.2"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  <c r="O104" s="210"/>
      <c r="P104" s="208"/>
      <c r="R104" s="209"/>
    </row>
    <row r="105" spans="1:24" x14ac:dyDescent="0.2">
      <c r="D105" s="208"/>
      <c r="E105" s="208"/>
      <c r="F105" s="208"/>
      <c r="G105" s="208"/>
      <c r="H105" s="208"/>
      <c r="I105" s="208"/>
      <c r="J105" s="208"/>
      <c r="K105" s="208"/>
      <c r="L105" s="208"/>
      <c r="M105" s="208"/>
      <c r="N105" s="208"/>
      <c r="O105" s="208"/>
      <c r="P105" s="208"/>
      <c r="Q105" s="209"/>
      <c r="R105" s="209"/>
    </row>
    <row r="106" spans="1:24" x14ac:dyDescent="0.2">
      <c r="D106" s="210"/>
      <c r="E106" s="210"/>
      <c r="F106" s="210"/>
      <c r="G106" s="210"/>
      <c r="H106" s="210"/>
      <c r="I106" s="210"/>
      <c r="J106" s="210"/>
      <c r="K106" s="210"/>
      <c r="L106" s="210"/>
      <c r="M106" s="210"/>
      <c r="N106" s="210"/>
      <c r="O106" s="210"/>
      <c r="P106" s="210"/>
      <c r="R106" s="209"/>
    </row>
    <row r="107" spans="1:24" x14ac:dyDescent="0.2">
      <c r="D107" s="208"/>
      <c r="E107" s="208"/>
      <c r="F107" s="208"/>
      <c r="G107" s="208"/>
      <c r="H107" s="208"/>
      <c r="I107" s="208"/>
      <c r="J107" s="208"/>
      <c r="K107" s="208"/>
      <c r="L107" s="208"/>
      <c r="M107" s="208"/>
      <c r="N107" s="208"/>
      <c r="O107" s="208"/>
      <c r="P107" s="208"/>
      <c r="Q107" s="209"/>
      <c r="R107" s="209"/>
      <c r="S107" s="209"/>
      <c r="T107" s="209"/>
    </row>
    <row r="108" spans="1:24" x14ac:dyDescent="0.2">
      <c r="D108" s="210"/>
      <c r="E108" s="210"/>
      <c r="F108" s="210"/>
      <c r="G108" s="210"/>
      <c r="H108" s="210"/>
      <c r="I108" s="210"/>
      <c r="J108" s="210"/>
      <c r="K108" s="210"/>
      <c r="L108" s="210"/>
      <c r="M108" s="210"/>
      <c r="N108" s="210"/>
      <c r="O108" s="210"/>
      <c r="P108" s="208"/>
      <c r="Q108" s="209"/>
    </row>
    <row r="109" spans="1:24" x14ac:dyDescent="0.2">
      <c r="D109" s="208"/>
      <c r="E109" s="208"/>
      <c r="F109" s="208"/>
      <c r="G109" s="208"/>
      <c r="H109" s="208"/>
      <c r="I109" s="208"/>
      <c r="J109" s="208"/>
      <c r="K109" s="208"/>
      <c r="L109" s="208"/>
      <c r="M109" s="208"/>
      <c r="N109" s="208"/>
      <c r="O109" s="208"/>
      <c r="P109" s="208"/>
      <c r="Q109" s="209"/>
      <c r="R109" s="209"/>
    </row>
    <row r="110" spans="1:24" x14ac:dyDescent="0.2">
      <c r="A110" s="206"/>
      <c r="B110" s="207"/>
      <c r="C110" s="207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209"/>
    </row>
    <row r="111" spans="1:24" x14ac:dyDescent="0.2">
      <c r="A111" s="8"/>
      <c r="B111" s="10"/>
      <c r="C111" s="10"/>
      <c r="D111" s="11"/>
      <c r="E111" s="11"/>
      <c r="F111" s="11"/>
      <c r="G111" s="11"/>
      <c r="H111" s="11"/>
      <c r="I111" s="11"/>
      <c r="J111" s="215"/>
      <c r="K111" s="11"/>
      <c r="L111" s="11"/>
      <c r="M111" s="11"/>
      <c r="N111" s="11"/>
      <c r="O111" s="11"/>
      <c r="P111" s="209"/>
      <c r="Q111" s="209"/>
      <c r="R111" s="18"/>
      <c r="V111" s="221"/>
      <c r="X111" s="221"/>
    </row>
    <row r="112" spans="1:24" x14ac:dyDescent="0.2">
      <c r="D112" s="208"/>
      <c r="E112" s="208"/>
      <c r="F112" s="208"/>
      <c r="G112" s="208"/>
      <c r="H112" s="208"/>
      <c r="I112" s="208"/>
      <c r="J112" s="208"/>
      <c r="K112" s="208"/>
      <c r="L112" s="208"/>
      <c r="M112" s="208"/>
      <c r="N112" s="208"/>
      <c r="O112" s="208"/>
      <c r="P112" s="208"/>
      <c r="R112" s="18"/>
      <c r="V112" s="221"/>
      <c r="X112" s="221"/>
    </row>
    <row r="113" spans="1:24" x14ac:dyDescent="0.2">
      <c r="D113" s="210"/>
      <c r="E113" s="210"/>
      <c r="F113" s="210"/>
      <c r="G113" s="210"/>
      <c r="H113" s="210"/>
      <c r="I113" s="210"/>
      <c r="J113" s="210"/>
      <c r="K113" s="210"/>
      <c r="L113" s="210"/>
      <c r="M113" s="210"/>
      <c r="N113" s="210"/>
      <c r="O113" s="210"/>
      <c r="P113" s="208"/>
      <c r="R113" s="209"/>
      <c r="V113" s="221"/>
      <c r="X113" s="221"/>
    </row>
    <row r="114" spans="1:24" x14ac:dyDescent="0.2">
      <c r="D114" s="208"/>
      <c r="E114" s="208"/>
      <c r="F114" s="208"/>
      <c r="G114" s="208"/>
      <c r="H114" s="208"/>
      <c r="I114" s="208"/>
      <c r="J114" s="208"/>
      <c r="K114" s="208"/>
      <c r="L114" s="208"/>
      <c r="M114" s="208"/>
      <c r="N114" s="208"/>
      <c r="O114" s="208"/>
      <c r="P114" s="209"/>
      <c r="Q114" s="209"/>
      <c r="R114" s="209"/>
      <c r="V114" s="221"/>
      <c r="X114" s="221"/>
    </row>
    <row r="115" spans="1:24" x14ac:dyDescent="0.2">
      <c r="D115" s="210"/>
      <c r="E115" s="210"/>
      <c r="F115" s="210"/>
      <c r="G115" s="210"/>
      <c r="H115" s="210"/>
      <c r="I115" s="210"/>
      <c r="J115" s="210"/>
      <c r="K115" s="210"/>
      <c r="L115" s="210"/>
      <c r="M115" s="210"/>
      <c r="N115" s="210"/>
      <c r="O115" s="210"/>
      <c r="P115" s="210"/>
      <c r="Q115" s="18"/>
      <c r="R115" s="18"/>
      <c r="V115" s="221"/>
      <c r="X115" s="221"/>
    </row>
    <row r="116" spans="1:24" x14ac:dyDescent="0.2">
      <c r="D116" s="208"/>
      <c r="E116" s="208"/>
      <c r="F116" s="208"/>
      <c r="G116" s="208"/>
      <c r="H116" s="208"/>
      <c r="I116" s="208"/>
      <c r="J116" s="208"/>
      <c r="K116" s="208"/>
      <c r="L116" s="208"/>
      <c r="M116" s="208"/>
      <c r="N116" s="208"/>
      <c r="O116" s="208"/>
      <c r="P116" s="209"/>
      <c r="Q116" s="209"/>
      <c r="R116" s="18"/>
      <c r="S116" s="209"/>
      <c r="T116" s="209"/>
      <c r="V116" s="221"/>
      <c r="X116" s="221"/>
    </row>
    <row r="117" spans="1:24" x14ac:dyDescent="0.2">
      <c r="D117" s="210"/>
      <c r="E117" s="210"/>
      <c r="F117" s="210"/>
      <c r="G117" s="210"/>
      <c r="H117" s="210"/>
      <c r="I117" s="210"/>
      <c r="J117" s="210"/>
      <c r="K117" s="210"/>
      <c r="L117" s="210"/>
      <c r="M117" s="210"/>
      <c r="N117" s="210"/>
      <c r="O117" s="210"/>
      <c r="P117" s="208"/>
      <c r="Q117" s="209"/>
    </row>
    <row r="118" spans="1:24" x14ac:dyDescent="0.2">
      <c r="D118" s="208"/>
      <c r="E118" s="208"/>
      <c r="F118" s="208"/>
      <c r="G118" s="208"/>
      <c r="H118" s="208"/>
      <c r="I118" s="208"/>
      <c r="J118" s="208"/>
      <c r="K118" s="208"/>
      <c r="L118" s="208"/>
      <c r="M118" s="208"/>
      <c r="N118" s="208"/>
      <c r="O118" s="208"/>
      <c r="P118" s="208"/>
      <c r="Q118" s="209"/>
      <c r="R118" s="209"/>
    </row>
    <row r="119" spans="1:24" x14ac:dyDescent="0.2"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9"/>
    </row>
    <row r="120" spans="1:24" x14ac:dyDescent="0.2">
      <c r="A120" s="8"/>
      <c r="B120" s="10"/>
      <c r="C120" s="10"/>
      <c r="D120" s="11"/>
      <c r="E120" s="11"/>
      <c r="F120" s="11"/>
      <c r="G120" s="11"/>
      <c r="H120" s="11"/>
      <c r="I120" s="11"/>
      <c r="J120" s="215"/>
      <c r="K120" s="11"/>
      <c r="L120" s="11"/>
      <c r="M120" s="11"/>
      <c r="N120" s="11"/>
      <c r="O120" s="11"/>
      <c r="P120" s="209"/>
      <c r="Q120" s="209"/>
      <c r="R120" s="18"/>
      <c r="V120" s="221"/>
      <c r="X120" s="221"/>
    </row>
    <row r="121" spans="1:24" x14ac:dyDescent="0.2">
      <c r="D121" s="208"/>
      <c r="E121" s="208"/>
      <c r="F121" s="208"/>
      <c r="G121" s="208"/>
      <c r="H121" s="208"/>
      <c r="I121" s="208"/>
      <c r="J121" s="208"/>
      <c r="K121" s="208"/>
      <c r="L121" s="208"/>
      <c r="M121" s="208"/>
      <c r="N121" s="208"/>
      <c r="O121" s="208"/>
      <c r="P121" s="208"/>
      <c r="R121" s="18"/>
      <c r="V121" s="221"/>
      <c r="X121" s="221"/>
    </row>
    <row r="122" spans="1:24" x14ac:dyDescent="0.2"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08"/>
      <c r="R122" s="209"/>
      <c r="V122" s="221"/>
      <c r="X122" s="221"/>
    </row>
    <row r="123" spans="1:24" x14ac:dyDescent="0.2">
      <c r="D123" s="208"/>
      <c r="E123" s="208"/>
      <c r="F123" s="208"/>
      <c r="G123" s="208"/>
      <c r="H123" s="208"/>
      <c r="I123" s="208"/>
      <c r="J123" s="208"/>
      <c r="K123" s="208"/>
      <c r="L123" s="208"/>
      <c r="M123" s="208"/>
      <c r="N123" s="208"/>
      <c r="O123" s="208"/>
      <c r="P123" s="209"/>
      <c r="Q123" s="209"/>
      <c r="R123" s="209"/>
      <c r="V123" s="221"/>
      <c r="X123" s="221"/>
    </row>
    <row r="124" spans="1:24" x14ac:dyDescent="0.2">
      <c r="D124" s="210"/>
      <c r="E124" s="210"/>
      <c r="F124" s="210"/>
      <c r="G124" s="210"/>
      <c r="H124" s="210"/>
      <c r="I124" s="210"/>
      <c r="J124" s="210"/>
      <c r="K124" s="210"/>
      <c r="L124" s="210"/>
      <c r="M124" s="210"/>
      <c r="N124" s="210"/>
      <c r="O124" s="210"/>
      <c r="P124" s="210"/>
      <c r="Q124" s="18"/>
      <c r="R124" s="18"/>
      <c r="V124" s="221"/>
      <c r="X124" s="221"/>
    </row>
    <row r="125" spans="1:24" x14ac:dyDescent="0.2">
      <c r="D125" s="208"/>
      <c r="E125" s="208"/>
      <c r="F125" s="208"/>
      <c r="G125" s="208"/>
      <c r="H125" s="208"/>
      <c r="I125" s="208"/>
      <c r="J125" s="208"/>
      <c r="K125" s="208"/>
      <c r="L125" s="208"/>
      <c r="M125" s="208"/>
      <c r="N125" s="208"/>
      <c r="O125" s="208"/>
      <c r="P125" s="209"/>
      <c r="Q125" s="209"/>
      <c r="R125" s="18"/>
      <c r="S125" s="209"/>
      <c r="T125" s="209"/>
      <c r="V125" s="221"/>
      <c r="X125" s="221"/>
    </row>
    <row r="126" spans="1:24" x14ac:dyDescent="0.2">
      <c r="D126" s="210"/>
      <c r="E126" s="210"/>
      <c r="F126" s="210"/>
      <c r="G126" s="210"/>
      <c r="H126" s="210"/>
      <c r="I126" s="210"/>
      <c r="J126" s="210"/>
      <c r="K126" s="210"/>
      <c r="L126" s="210"/>
      <c r="M126" s="210"/>
      <c r="N126" s="210"/>
      <c r="O126" s="210"/>
      <c r="P126" s="208"/>
      <c r="Q126" s="209"/>
    </row>
    <row r="127" spans="1:24" x14ac:dyDescent="0.2">
      <c r="D127" s="208"/>
      <c r="E127" s="208"/>
      <c r="F127" s="208"/>
      <c r="G127" s="208"/>
      <c r="H127" s="208"/>
      <c r="I127" s="208"/>
      <c r="J127" s="208"/>
      <c r="K127" s="208"/>
      <c r="L127" s="208"/>
      <c r="M127" s="208"/>
      <c r="N127" s="208"/>
      <c r="O127" s="208"/>
      <c r="P127" s="208"/>
      <c r="Q127" s="209"/>
      <c r="R127" s="209"/>
    </row>
    <row r="128" spans="1:24" x14ac:dyDescent="0.2">
      <c r="D128" s="208"/>
      <c r="E128" s="208"/>
      <c r="F128" s="208"/>
      <c r="G128" s="208"/>
      <c r="H128" s="208"/>
      <c r="I128" s="208"/>
      <c r="J128" s="208"/>
      <c r="K128" s="208"/>
      <c r="L128" s="208"/>
      <c r="M128" s="208"/>
      <c r="N128" s="208"/>
      <c r="O128" s="208"/>
      <c r="P128" s="208"/>
      <c r="Q128" s="209"/>
    </row>
    <row r="129" spans="1:24" x14ac:dyDescent="0.2">
      <c r="A129" s="8"/>
      <c r="B129" s="10"/>
      <c r="C129" s="10"/>
      <c r="D129" s="208"/>
      <c r="E129" s="208"/>
      <c r="F129" s="208"/>
      <c r="G129" s="208"/>
      <c r="H129" s="208"/>
      <c r="I129" s="208"/>
      <c r="J129" s="208"/>
      <c r="K129" s="208"/>
      <c r="L129" s="208"/>
      <c r="M129" s="208"/>
      <c r="N129" s="208"/>
      <c r="O129" s="208"/>
      <c r="P129" s="209"/>
      <c r="Q129" s="209"/>
      <c r="R129" s="18"/>
    </row>
    <row r="130" spans="1:24" x14ac:dyDescent="0.2">
      <c r="D130" s="208"/>
      <c r="E130" s="208"/>
      <c r="F130" s="208"/>
      <c r="G130" s="208"/>
      <c r="H130" s="208"/>
      <c r="I130" s="208"/>
      <c r="J130" s="208"/>
      <c r="K130" s="208"/>
      <c r="L130" s="208"/>
      <c r="M130" s="208"/>
      <c r="N130" s="208"/>
      <c r="O130" s="208"/>
      <c r="P130" s="209"/>
      <c r="Q130" s="209"/>
      <c r="R130" s="18"/>
    </row>
    <row r="131" spans="1:24" x14ac:dyDescent="0.2">
      <c r="D131" s="210"/>
      <c r="E131" s="210"/>
      <c r="F131" s="210"/>
      <c r="G131" s="210"/>
      <c r="H131" s="210"/>
      <c r="I131" s="210"/>
      <c r="J131" s="210"/>
      <c r="K131" s="210"/>
      <c r="L131" s="210"/>
      <c r="M131" s="210"/>
      <c r="N131" s="210"/>
      <c r="O131" s="210"/>
      <c r="P131" s="210"/>
      <c r="Q131" s="209"/>
      <c r="R131" s="18"/>
    </row>
    <row r="132" spans="1:24" x14ac:dyDescent="0.2">
      <c r="D132" s="208"/>
      <c r="E132" s="208"/>
      <c r="F132" s="208"/>
      <c r="G132" s="208"/>
      <c r="H132" s="208"/>
      <c r="I132" s="208"/>
      <c r="J132" s="208"/>
      <c r="K132" s="208"/>
      <c r="L132" s="208"/>
      <c r="M132" s="208"/>
      <c r="N132" s="208"/>
      <c r="O132" s="208"/>
      <c r="P132" s="209"/>
      <c r="Q132" s="209"/>
      <c r="R132" s="209"/>
    </row>
    <row r="133" spans="1:24" x14ac:dyDescent="0.2">
      <c r="D133" s="210"/>
      <c r="E133" s="210"/>
      <c r="F133" s="210"/>
      <c r="G133" s="210"/>
      <c r="H133" s="210"/>
      <c r="I133" s="210"/>
      <c r="J133" s="210"/>
      <c r="K133" s="210"/>
      <c r="L133" s="210"/>
      <c r="M133" s="210"/>
      <c r="N133" s="210"/>
      <c r="O133" s="210"/>
      <c r="P133" s="210"/>
      <c r="Q133" s="18"/>
      <c r="R133" s="18"/>
    </row>
    <row r="134" spans="1:24" x14ac:dyDescent="0.2">
      <c r="D134" s="208"/>
      <c r="E134" s="208"/>
      <c r="F134" s="208"/>
      <c r="G134" s="208"/>
      <c r="H134" s="208"/>
      <c r="I134" s="208"/>
      <c r="J134" s="208"/>
      <c r="K134" s="208"/>
      <c r="L134" s="208"/>
      <c r="M134" s="208"/>
      <c r="N134" s="208"/>
      <c r="O134" s="208"/>
      <c r="P134" s="209"/>
      <c r="Q134" s="209"/>
      <c r="S134" s="209"/>
      <c r="T134" s="209"/>
    </row>
    <row r="135" spans="1:24" x14ac:dyDescent="0.2">
      <c r="D135" s="210"/>
      <c r="E135" s="210"/>
      <c r="F135" s="210"/>
      <c r="G135" s="210"/>
      <c r="H135" s="210"/>
      <c r="I135" s="210"/>
      <c r="J135" s="210"/>
      <c r="K135" s="210"/>
      <c r="L135" s="210"/>
      <c r="M135" s="210"/>
      <c r="N135" s="210"/>
      <c r="O135" s="210"/>
      <c r="P135" s="210"/>
      <c r="Q135" s="209"/>
      <c r="R135" s="209"/>
      <c r="S135" s="209"/>
      <c r="T135" s="209"/>
    </row>
    <row r="136" spans="1:24" x14ac:dyDescent="0.2">
      <c r="D136" s="208"/>
      <c r="E136" s="208"/>
      <c r="F136" s="208"/>
      <c r="G136" s="208"/>
      <c r="H136" s="208"/>
      <c r="I136" s="208"/>
      <c r="J136" s="208"/>
      <c r="K136" s="208"/>
      <c r="L136" s="208"/>
      <c r="M136" s="208"/>
      <c r="N136" s="208"/>
      <c r="O136" s="208"/>
      <c r="P136" s="209"/>
      <c r="Q136" s="209"/>
      <c r="R136" s="209"/>
      <c r="S136" s="209"/>
      <c r="T136" s="209"/>
    </row>
    <row r="137" spans="1:24" x14ac:dyDescent="0.2">
      <c r="D137" s="208"/>
      <c r="E137" s="208"/>
      <c r="F137" s="208"/>
      <c r="G137" s="208"/>
      <c r="H137" s="208"/>
      <c r="I137" s="208"/>
      <c r="J137" s="208"/>
      <c r="K137" s="208"/>
      <c r="L137" s="208"/>
      <c r="M137" s="208"/>
      <c r="N137" s="208"/>
      <c r="O137" s="208"/>
      <c r="P137" s="209"/>
      <c r="Q137" s="209"/>
      <c r="R137" s="18"/>
      <c r="S137" s="209"/>
      <c r="T137" s="209"/>
    </row>
    <row r="138" spans="1:24" x14ac:dyDescent="0.2">
      <c r="A138" s="8"/>
      <c r="B138" s="10"/>
      <c r="C138" s="10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209"/>
      <c r="Q138" s="11"/>
      <c r="R138" s="18"/>
      <c r="V138" s="221"/>
      <c r="X138" s="221"/>
    </row>
    <row r="139" spans="1:24" x14ac:dyDescent="0.2">
      <c r="D139" s="208"/>
      <c r="E139" s="208"/>
      <c r="F139" s="208"/>
      <c r="G139" s="208"/>
      <c r="H139" s="208"/>
      <c r="I139" s="208"/>
      <c r="J139" s="208"/>
      <c r="K139" s="208"/>
      <c r="L139" s="208"/>
      <c r="M139" s="208"/>
      <c r="N139" s="208"/>
      <c r="O139" s="208"/>
      <c r="P139" s="208"/>
      <c r="R139" s="18"/>
      <c r="V139" s="221"/>
      <c r="X139" s="221"/>
    </row>
    <row r="140" spans="1:24" x14ac:dyDescent="0.2">
      <c r="D140" s="210"/>
      <c r="E140" s="210"/>
      <c r="F140" s="210"/>
      <c r="G140" s="210"/>
      <c r="H140" s="210"/>
      <c r="I140" s="210"/>
      <c r="J140" s="210"/>
      <c r="K140" s="210"/>
      <c r="L140" s="210"/>
      <c r="M140" s="210"/>
      <c r="N140" s="210"/>
      <c r="O140" s="210"/>
      <c r="P140" s="208"/>
      <c r="R140" s="209"/>
      <c r="V140" s="221"/>
      <c r="X140" s="221"/>
    </row>
    <row r="141" spans="1:24" x14ac:dyDescent="0.2">
      <c r="D141" s="208"/>
      <c r="E141" s="208"/>
      <c r="F141" s="208"/>
      <c r="G141" s="208"/>
      <c r="H141" s="208"/>
      <c r="I141" s="208"/>
      <c r="J141" s="208"/>
      <c r="K141" s="208"/>
      <c r="L141" s="208"/>
      <c r="M141" s="208"/>
      <c r="N141" s="208"/>
      <c r="O141" s="208"/>
      <c r="P141" s="209"/>
      <c r="Q141" s="209"/>
      <c r="R141" s="209"/>
      <c r="V141" s="221"/>
      <c r="X141" s="221"/>
    </row>
    <row r="142" spans="1:24" x14ac:dyDescent="0.2">
      <c r="D142" s="210"/>
      <c r="E142" s="210"/>
      <c r="F142" s="210"/>
      <c r="G142" s="210"/>
      <c r="H142" s="210"/>
      <c r="I142" s="210"/>
      <c r="J142" s="210"/>
      <c r="K142" s="210"/>
      <c r="L142" s="210"/>
      <c r="M142" s="210"/>
      <c r="N142" s="210"/>
      <c r="O142" s="210"/>
      <c r="P142" s="210"/>
      <c r="Q142" s="18"/>
      <c r="R142" s="18"/>
      <c r="V142" s="221"/>
      <c r="X142" s="221"/>
    </row>
    <row r="143" spans="1:24" x14ac:dyDescent="0.2">
      <c r="D143" s="208"/>
      <c r="E143" s="208"/>
      <c r="F143" s="208"/>
      <c r="G143" s="208"/>
      <c r="H143" s="208"/>
      <c r="I143" s="208"/>
      <c r="J143" s="208"/>
      <c r="K143" s="208"/>
      <c r="L143" s="208"/>
      <c r="M143" s="208"/>
      <c r="N143" s="208"/>
      <c r="O143" s="208"/>
      <c r="P143" s="209"/>
      <c r="Q143" s="209"/>
      <c r="R143" s="18"/>
      <c r="S143" s="209"/>
      <c r="T143" s="209"/>
      <c r="V143" s="221"/>
      <c r="X143" s="221"/>
    </row>
    <row r="144" spans="1:24" x14ac:dyDescent="0.2">
      <c r="D144" s="210"/>
      <c r="E144" s="210"/>
      <c r="F144" s="210"/>
      <c r="G144" s="210"/>
      <c r="H144" s="210"/>
      <c r="I144" s="210"/>
      <c r="J144" s="210"/>
      <c r="K144" s="210"/>
      <c r="L144" s="210"/>
      <c r="M144" s="210"/>
      <c r="N144" s="210"/>
      <c r="O144" s="210"/>
      <c r="P144" s="208"/>
      <c r="Q144" s="209"/>
    </row>
    <row r="145" spans="1:24" x14ac:dyDescent="0.2">
      <c r="D145" s="208"/>
      <c r="E145" s="208"/>
      <c r="F145" s="208"/>
      <c r="G145" s="208"/>
      <c r="H145" s="208"/>
      <c r="I145" s="208"/>
      <c r="J145" s="208"/>
      <c r="K145" s="208"/>
      <c r="L145" s="208"/>
      <c r="M145" s="208"/>
      <c r="N145" s="208"/>
      <c r="O145" s="208"/>
      <c r="P145" s="208"/>
      <c r="Q145" s="209"/>
      <c r="R145" s="209"/>
    </row>
    <row r="146" spans="1:24" x14ac:dyDescent="0.2">
      <c r="D146" s="208"/>
      <c r="E146" s="208"/>
      <c r="F146" s="208"/>
      <c r="G146" s="208"/>
      <c r="H146" s="208"/>
      <c r="I146" s="208"/>
      <c r="J146" s="208"/>
      <c r="K146" s="208"/>
      <c r="L146" s="208"/>
      <c r="M146" s="208"/>
      <c r="N146" s="208"/>
      <c r="O146" s="208"/>
      <c r="P146" s="209"/>
      <c r="Q146" s="209"/>
      <c r="R146" s="18"/>
      <c r="S146" s="209"/>
      <c r="T146" s="209"/>
    </row>
    <row r="147" spans="1:24" x14ac:dyDescent="0.2">
      <c r="A147" s="8"/>
      <c r="B147" s="10"/>
      <c r="C147" s="10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209"/>
      <c r="Q147" s="18"/>
      <c r="R147" s="18"/>
      <c r="V147" s="221"/>
      <c r="X147" s="221"/>
    </row>
    <row r="148" spans="1:24" x14ac:dyDescent="0.2">
      <c r="D148" s="208"/>
      <c r="E148" s="208"/>
      <c r="F148" s="208"/>
      <c r="G148" s="208"/>
      <c r="H148" s="208"/>
      <c r="I148" s="208"/>
      <c r="J148" s="208"/>
      <c r="K148" s="208"/>
      <c r="L148" s="208"/>
      <c r="M148" s="208"/>
      <c r="N148" s="208"/>
      <c r="O148" s="208"/>
      <c r="P148" s="208"/>
      <c r="R148" s="18"/>
      <c r="V148" s="221"/>
      <c r="X148" s="221"/>
    </row>
    <row r="149" spans="1:24" x14ac:dyDescent="0.2">
      <c r="D149" s="210"/>
      <c r="E149" s="210"/>
      <c r="F149" s="210"/>
      <c r="G149" s="210"/>
      <c r="H149" s="210"/>
      <c r="I149" s="210"/>
      <c r="J149" s="210"/>
      <c r="K149" s="210"/>
      <c r="L149" s="210"/>
      <c r="M149" s="210"/>
      <c r="N149" s="210"/>
      <c r="O149" s="210"/>
      <c r="P149" s="208"/>
      <c r="R149" s="209"/>
      <c r="V149" s="221"/>
      <c r="X149" s="221"/>
    </row>
    <row r="150" spans="1:24" x14ac:dyDescent="0.2">
      <c r="D150" s="208"/>
      <c r="E150" s="208"/>
      <c r="F150" s="208"/>
      <c r="G150" s="208"/>
      <c r="H150" s="208"/>
      <c r="I150" s="208"/>
      <c r="J150" s="208"/>
      <c r="K150" s="208"/>
      <c r="L150" s="208"/>
      <c r="M150" s="208"/>
      <c r="N150" s="208"/>
      <c r="O150" s="208"/>
      <c r="P150" s="209"/>
      <c r="Q150" s="209"/>
      <c r="R150" s="209"/>
      <c r="V150" s="221"/>
      <c r="X150" s="221"/>
    </row>
    <row r="151" spans="1:24" x14ac:dyDescent="0.2">
      <c r="D151" s="210"/>
      <c r="E151" s="210"/>
      <c r="F151" s="210"/>
      <c r="G151" s="210"/>
      <c r="H151" s="210"/>
      <c r="I151" s="210"/>
      <c r="J151" s="210"/>
      <c r="K151" s="210"/>
      <c r="L151" s="210"/>
      <c r="M151" s="210"/>
      <c r="N151" s="210"/>
      <c r="O151" s="210"/>
      <c r="P151" s="210"/>
      <c r="Q151" s="18"/>
      <c r="R151" s="18"/>
      <c r="V151" s="221"/>
      <c r="X151" s="221"/>
    </row>
    <row r="152" spans="1:24" x14ac:dyDescent="0.2">
      <c r="D152" s="208"/>
      <c r="E152" s="208"/>
      <c r="F152" s="208"/>
      <c r="G152" s="208"/>
      <c r="H152" s="208"/>
      <c r="I152" s="208"/>
      <c r="J152" s="208"/>
      <c r="K152" s="208"/>
      <c r="L152" s="208"/>
      <c r="M152" s="208"/>
      <c r="N152" s="208"/>
      <c r="O152" s="208"/>
      <c r="P152" s="209"/>
      <c r="Q152" s="209"/>
      <c r="R152" s="18"/>
      <c r="S152" s="209"/>
      <c r="T152" s="209"/>
      <c r="V152" s="221"/>
      <c r="X152" s="221"/>
    </row>
    <row r="153" spans="1:24" x14ac:dyDescent="0.2">
      <c r="D153" s="210"/>
      <c r="E153" s="210"/>
      <c r="F153" s="210"/>
      <c r="G153" s="210"/>
      <c r="H153" s="210"/>
      <c r="I153" s="210"/>
      <c r="J153" s="210"/>
      <c r="K153" s="210"/>
      <c r="L153" s="210"/>
      <c r="M153" s="210"/>
      <c r="N153" s="210"/>
      <c r="O153" s="210"/>
      <c r="P153" s="208"/>
      <c r="Q153" s="209"/>
    </row>
    <row r="154" spans="1:24" x14ac:dyDescent="0.2">
      <c r="D154" s="208"/>
      <c r="E154" s="208"/>
      <c r="F154" s="208"/>
      <c r="G154" s="208"/>
      <c r="H154" s="208"/>
      <c r="I154" s="208"/>
      <c r="J154" s="208"/>
      <c r="K154" s="208"/>
      <c r="L154" s="208"/>
      <c r="M154" s="208"/>
      <c r="N154" s="208"/>
      <c r="O154" s="208"/>
      <c r="P154" s="208"/>
      <c r="Q154" s="209"/>
      <c r="R154" s="209"/>
    </row>
    <row r="155" spans="1:24" x14ac:dyDescent="0.2">
      <c r="D155" s="208"/>
      <c r="E155" s="208"/>
      <c r="F155" s="208"/>
      <c r="G155" s="208"/>
      <c r="H155" s="208"/>
      <c r="I155" s="208"/>
      <c r="J155" s="208"/>
      <c r="K155" s="208"/>
      <c r="L155" s="208"/>
      <c r="M155" s="208"/>
      <c r="N155" s="208"/>
      <c r="O155" s="208"/>
      <c r="P155" s="208"/>
      <c r="Q155" s="209"/>
    </row>
    <row r="156" spans="1:24" x14ac:dyDescent="0.2"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209"/>
      <c r="Q156" s="18"/>
      <c r="R156" s="18"/>
      <c r="V156" s="221"/>
      <c r="X156" s="221"/>
    </row>
    <row r="157" spans="1:24" x14ac:dyDescent="0.2">
      <c r="D157" s="208"/>
      <c r="E157" s="208"/>
      <c r="F157" s="208"/>
      <c r="G157" s="208"/>
      <c r="H157" s="208"/>
      <c r="I157" s="208"/>
      <c r="J157" s="208"/>
      <c r="K157" s="208"/>
      <c r="L157" s="208"/>
      <c r="M157" s="208"/>
      <c r="N157" s="208"/>
      <c r="O157" s="208"/>
      <c r="P157" s="208"/>
      <c r="R157" s="18"/>
      <c r="V157" s="221"/>
      <c r="X157" s="221"/>
    </row>
    <row r="158" spans="1:24" x14ac:dyDescent="0.2">
      <c r="D158" s="210"/>
      <c r="E158" s="210"/>
      <c r="F158" s="210"/>
      <c r="G158" s="210"/>
      <c r="H158" s="210"/>
      <c r="I158" s="210"/>
      <c r="J158" s="210"/>
      <c r="K158" s="210"/>
      <c r="L158" s="210"/>
      <c r="M158" s="210"/>
      <c r="N158" s="210"/>
      <c r="O158" s="210"/>
      <c r="P158" s="208"/>
      <c r="R158" s="209"/>
      <c r="V158" s="221"/>
      <c r="X158" s="221"/>
    </row>
    <row r="159" spans="1:24" x14ac:dyDescent="0.2">
      <c r="D159" s="208"/>
      <c r="E159" s="208"/>
      <c r="F159" s="208"/>
      <c r="G159" s="208"/>
      <c r="H159" s="208"/>
      <c r="I159" s="208"/>
      <c r="J159" s="208"/>
      <c r="K159" s="208"/>
      <c r="L159" s="208"/>
      <c r="M159" s="208"/>
      <c r="N159" s="208"/>
      <c r="O159" s="208"/>
      <c r="P159" s="209"/>
      <c r="Q159" s="209"/>
      <c r="R159" s="209"/>
      <c r="V159" s="221"/>
      <c r="X159" s="221"/>
    </row>
    <row r="160" spans="1:24" x14ac:dyDescent="0.2">
      <c r="D160" s="210"/>
      <c r="E160" s="210"/>
      <c r="F160" s="210"/>
      <c r="G160" s="210"/>
      <c r="H160" s="210"/>
      <c r="I160" s="210"/>
      <c r="J160" s="210"/>
      <c r="K160" s="210"/>
      <c r="L160" s="210"/>
      <c r="M160" s="210"/>
      <c r="N160" s="210"/>
      <c r="O160" s="210"/>
      <c r="P160" s="210"/>
      <c r="Q160" s="18"/>
      <c r="R160" s="18"/>
      <c r="V160" s="221"/>
      <c r="X160" s="221"/>
    </row>
    <row r="161" spans="4:24" x14ac:dyDescent="0.2">
      <c r="D161" s="208"/>
      <c r="E161" s="208"/>
      <c r="F161" s="208"/>
      <c r="G161" s="208"/>
      <c r="H161" s="208"/>
      <c r="I161" s="208"/>
      <c r="J161" s="208"/>
      <c r="K161" s="208"/>
      <c r="L161" s="208"/>
      <c r="M161" s="208"/>
      <c r="N161" s="208"/>
      <c r="O161" s="208"/>
      <c r="P161" s="209"/>
      <c r="Q161" s="209"/>
      <c r="R161" s="18"/>
      <c r="S161" s="209"/>
      <c r="T161" s="209"/>
      <c r="V161" s="221"/>
      <c r="X161" s="221"/>
    </row>
    <row r="162" spans="4:24" x14ac:dyDescent="0.2">
      <c r="D162" s="210"/>
      <c r="E162" s="210"/>
      <c r="F162" s="210"/>
      <c r="G162" s="210"/>
      <c r="H162" s="210"/>
      <c r="I162" s="210"/>
      <c r="J162" s="210"/>
      <c r="K162" s="210"/>
      <c r="L162" s="210"/>
      <c r="M162" s="210"/>
      <c r="N162" s="210"/>
      <c r="O162" s="210"/>
      <c r="P162" s="208"/>
      <c r="Q162" s="209"/>
    </row>
    <row r="163" spans="4:24" x14ac:dyDescent="0.2">
      <c r="D163" s="208"/>
      <c r="E163" s="208"/>
      <c r="F163" s="208"/>
      <c r="G163" s="208"/>
      <c r="H163" s="208"/>
      <c r="I163" s="208"/>
      <c r="J163" s="208"/>
      <c r="K163" s="208"/>
      <c r="L163" s="208"/>
      <c r="M163" s="208"/>
      <c r="N163" s="208"/>
      <c r="O163" s="208"/>
      <c r="P163" s="208"/>
      <c r="Q163" s="209"/>
      <c r="R163" s="209"/>
    </row>
    <row r="164" spans="4:24" x14ac:dyDescent="0.2">
      <c r="D164" s="208"/>
      <c r="E164" s="208"/>
      <c r="F164" s="208"/>
      <c r="G164" s="208"/>
      <c r="H164" s="208"/>
      <c r="I164" s="208"/>
      <c r="J164" s="208"/>
      <c r="K164" s="208"/>
      <c r="L164" s="208"/>
      <c r="M164" s="208"/>
      <c r="N164" s="208"/>
      <c r="O164" s="208"/>
      <c r="P164" s="208"/>
      <c r="Q164" s="209"/>
    </row>
    <row r="165" spans="4:24" x14ac:dyDescent="0.2"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209"/>
      <c r="Q165" s="18"/>
      <c r="R165" s="18"/>
      <c r="V165" s="221"/>
      <c r="X165" s="221"/>
    </row>
    <row r="166" spans="4:24" x14ac:dyDescent="0.2">
      <c r="D166" s="208"/>
      <c r="E166" s="208"/>
      <c r="F166" s="208"/>
      <c r="G166" s="208"/>
      <c r="H166" s="208"/>
      <c r="I166" s="208"/>
      <c r="J166" s="208"/>
      <c r="K166" s="208"/>
      <c r="L166" s="208"/>
      <c r="M166" s="208"/>
      <c r="N166" s="208"/>
      <c r="O166" s="208"/>
      <c r="P166" s="208"/>
      <c r="R166" s="18"/>
      <c r="V166" s="221"/>
      <c r="X166" s="221"/>
    </row>
    <row r="167" spans="4:24" x14ac:dyDescent="0.2">
      <c r="D167" s="210"/>
      <c r="E167" s="210"/>
      <c r="F167" s="210"/>
      <c r="G167" s="210"/>
      <c r="H167" s="210"/>
      <c r="I167" s="210"/>
      <c r="J167" s="210"/>
      <c r="K167" s="210"/>
      <c r="L167" s="210"/>
      <c r="M167" s="210"/>
      <c r="N167" s="210"/>
      <c r="O167" s="210"/>
      <c r="P167" s="208"/>
      <c r="R167" s="209"/>
      <c r="V167" s="221"/>
      <c r="X167" s="221"/>
    </row>
    <row r="168" spans="4:24" x14ac:dyDescent="0.2">
      <c r="D168" s="208"/>
      <c r="E168" s="208"/>
      <c r="F168" s="208"/>
      <c r="G168" s="208"/>
      <c r="H168" s="208"/>
      <c r="I168" s="208"/>
      <c r="J168" s="208"/>
      <c r="K168" s="208"/>
      <c r="L168" s="208"/>
      <c r="M168" s="208"/>
      <c r="N168" s="208"/>
      <c r="O168" s="208"/>
      <c r="P168" s="209"/>
      <c r="Q168" s="209"/>
      <c r="R168" s="209"/>
      <c r="V168" s="221"/>
      <c r="X168" s="221"/>
    </row>
    <row r="169" spans="4:24" x14ac:dyDescent="0.2">
      <c r="D169" s="210"/>
      <c r="E169" s="210"/>
      <c r="F169" s="210"/>
      <c r="G169" s="210"/>
      <c r="H169" s="210"/>
      <c r="I169" s="210"/>
      <c r="J169" s="210"/>
      <c r="K169" s="210"/>
      <c r="L169" s="210"/>
      <c r="M169" s="210"/>
      <c r="N169" s="210"/>
      <c r="O169" s="210"/>
      <c r="P169" s="210"/>
      <c r="Q169" s="18"/>
      <c r="R169" s="18"/>
      <c r="V169" s="221"/>
      <c r="X169" s="221"/>
    </row>
    <row r="170" spans="4:24" x14ac:dyDescent="0.2">
      <c r="D170" s="208"/>
      <c r="E170" s="208"/>
      <c r="F170" s="208"/>
      <c r="G170" s="208"/>
      <c r="H170" s="208"/>
      <c r="I170" s="208"/>
      <c r="J170" s="208"/>
      <c r="K170" s="208"/>
      <c r="L170" s="208"/>
      <c r="M170" s="208"/>
      <c r="N170" s="208"/>
      <c r="O170" s="208"/>
      <c r="P170" s="209"/>
      <c r="Q170" s="209"/>
      <c r="R170" s="18"/>
      <c r="S170" s="209"/>
      <c r="T170" s="209"/>
      <c r="V170" s="221"/>
      <c r="X170" s="221"/>
    </row>
    <row r="171" spans="4:24" x14ac:dyDescent="0.2">
      <c r="D171" s="210"/>
      <c r="E171" s="210"/>
      <c r="F171" s="210"/>
      <c r="G171" s="210"/>
      <c r="H171" s="210"/>
      <c r="I171" s="210"/>
      <c r="J171" s="210"/>
      <c r="K171" s="210"/>
      <c r="L171" s="210"/>
      <c r="M171" s="210"/>
      <c r="N171" s="210"/>
      <c r="O171" s="210"/>
      <c r="P171" s="208"/>
      <c r="Q171" s="209"/>
    </row>
    <row r="172" spans="4:24" x14ac:dyDescent="0.2">
      <c r="D172" s="208"/>
      <c r="E172" s="208"/>
      <c r="F172" s="208"/>
      <c r="G172" s="208"/>
      <c r="H172" s="208"/>
      <c r="I172" s="208"/>
      <c r="J172" s="208"/>
      <c r="K172" s="208"/>
      <c r="L172" s="208"/>
      <c r="M172" s="208"/>
      <c r="N172" s="208"/>
      <c r="O172" s="208"/>
      <c r="P172" s="208"/>
      <c r="Q172" s="209"/>
      <c r="R172" s="209"/>
    </row>
    <row r="173" spans="4:24" x14ac:dyDescent="0.2">
      <c r="D173" s="208"/>
      <c r="E173" s="208"/>
      <c r="F173" s="208"/>
      <c r="G173" s="208"/>
      <c r="H173" s="208"/>
      <c r="I173" s="208"/>
      <c r="J173" s="208"/>
      <c r="K173" s="208"/>
      <c r="L173" s="208"/>
      <c r="M173" s="208"/>
      <c r="N173" s="208"/>
      <c r="O173" s="208"/>
      <c r="P173" s="208"/>
      <c r="Q173" s="209"/>
    </row>
    <row r="174" spans="4:24" x14ac:dyDescent="0.2"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209"/>
      <c r="Q174" s="18"/>
      <c r="R174" s="18"/>
      <c r="V174" s="221"/>
      <c r="X174" s="221"/>
    </row>
    <row r="175" spans="4:24" x14ac:dyDescent="0.2">
      <c r="D175" s="208"/>
      <c r="E175" s="208"/>
      <c r="F175" s="208"/>
      <c r="G175" s="208"/>
      <c r="H175" s="208"/>
      <c r="I175" s="208"/>
      <c r="J175" s="208"/>
      <c r="K175" s="208"/>
      <c r="L175" s="208"/>
      <c r="M175" s="208"/>
      <c r="N175" s="208"/>
      <c r="O175" s="208"/>
      <c r="P175" s="208"/>
      <c r="R175" s="18"/>
      <c r="V175" s="221"/>
      <c r="X175" s="221"/>
    </row>
    <row r="176" spans="4:24" x14ac:dyDescent="0.2">
      <c r="D176" s="210"/>
      <c r="E176" s="210"/>
      <c r="F176" s="210"/>
      <c r="G176" s="210"/>
      <c r="H176" s="210"/>
      <c r="I176" s="210"/>
      <c r="J176" s="210"/>
      <c r="K176" s="210"/>
      <c r="L176" s="210"/>
      <c r="M176" s="210"/>
      <c r="N176" s="210"/>
      <c r="O176" s="210"/>
      <c r="P176" s="208"/>
      <c r="R176" s="209"/>
      <c r="V176" s="221"/>
      <c r="X176" s="221"/>
    </row>
    <row r="177" spans="4:24" x14ac:dyDescent="0.2">
      <c r="D177" s="208"/>
      <c r="E177" s="208"/>
      <c r="F177" s="208"/>
      <c r="G177" s="208"/>
      <c r="H177" s="208"/>
      <c r="I177" s="208"/>
      <c r="J177" s="208"/>
      <c r="K177" s="208"/>
      <c r="L177" s="208"/>
      <c r="M177" s="208"/>
      <c r="N177" s="208"/>
      <c r="O177" s="208"/>
      <c r="P177" s="209"/>
      <c r="Q177" s="209"/>
      <c r="R177" s="209"/>
      <c r="V177" s="221"/>
      <c r="X177" s="221"/>
    </row>
    <row r="178" spans="4:24" x14ac:dyDescent="0.2">
      <c r="D178" s="210"/>
      <c r="E178" s="210"/>
      <c r="F178" s="210"/>
      <c r="G178" s="210"/>
      <c r="H178" s="210"/>
      <c r="I178" s="210"/>
      <c r="J178" s="210"/>
      <c r="K178" s="210"/>
      <c r="L178" s="210"/>
      <c r="M178" s="210"/>
      <c r="N178" s="210"/>
      <c r="O178" s="210"/>
      <c r="P178" s="210"/>
      <c r="Q178" s="18"/>
      <c r="R178" s="18"/>
      <c r="V178" s="221"/>
      <c r="X178" s="221"/>
    </row>
    <row r="179" spans="4:24" x14ac:dyDescent="0.2">
      <c r="D179" s="208"/>
      <c r="E179" s="208"/>
      <c r="F179" s="208"/>
      <c r="G179" s="208"/>
      <c r="H179" s="208"/>
      <c r="I179" s="208"/>
      <c r="J179" s="208"/>
      <c r="K179" s="208"/>
      <c r="L179" s="208"/>
      <c r="M179" s="208"/>
      <c r="N179" s="208"/>
      <c r="O179" s="208"/>
      <c r="P179" s="209"/>
      <c r="Q179" s="209"/>
      <c r="R179" s="18"/>
      <c r="S179" s="209"/>
      <c r="T179" s="209"/>
      <c r="V179" s="221"/>
      <c r="X179" s="221"/>
    </row>
    <row r="180" spans="4:24" x14ac:dyDescent="0.2">
      <c r="D180" s="210"/>
      <c r="E180" s="210"/>
      <c r="F180" s="210"/>
      <c r="G180" s="210"/>
      <c r="H180" s="210"/>
      <c r="I180" s="210"/>
      <c r="J180" s="210"/>
      <c r="K180" s="210"/>
      <c r="L180" s="210"/>
      <c r="M180" s="210"/>
      <c r="N180" s="210"/>
      <c r="O180" s="210"/>
      <c r="P180" s="208"/>
      <c r="Q180" s="209"/>
    </row>
    <row r="181" spans="4:24" x14ac:dyDescent="0.2">
      <c r="D181" s="208"/>
      <c r="E181" s="208"/>
      <c r="F181" s="208"/>
      <c r="G181" s="208"/>
      <c r="H181" s="208"/>
      <c r="I181" s="208"/>
      <c r="J181" s="208"/>
      <c r="K181" s="208"/>
      <c r="L181" s="208"/>
      <c r="M181" s="208"/>
      <c r="N181" s="208"/>
      <c r="O181" s="208"/>
      <c r="P181" s="208"/>
      <c r="Q181" s="209"/>
      <c r="R181" s="209"/>
    </row>
    <row r="182" spans="4:24" x14ac:dyDescent="0.2">
      <c r="D182" s="208"/>
      <c r="E182" s="208"/>
      <c r="F182" s="208"/>
      <c r="G182" s="208"/>
      <c r="H182" s="208"/>
      <c r="I182" s="208"/>
      <c r="J182" s="208"/>
      <c r="K182" s="208"/>
      <c r="L182" s="208"/>
      <c r="M182" s="208"/>
      <c r="N182" s="208"/>
      <c r="O182" s="208"/>
      <c r="P182" s="208"/>
      <c r="Q182" s="209"/>
    </row>
    <row r="183" spans="4:24" x14ac:dyDescent="0.2"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209"/>
      <c r="Q183" s="18"/>
      <c r="R183" s="18"/>
    </row>
    <row r="184" spans="4:24" x14ac:dyDescent="0.2">
      <c r="D184" s="208"/>
      <c r="E184" s="208"/>
      <c r="F184" s="208"/>
      <c r="G184" s="208"/>
      <c r="H184" s="208"/>
      <c r="I184" s="208"/>
      <c r="J184" s="208"/>
      <c r="K184" s="208"/>
      <c r="L184" s="208"/>
      <c r="M184" s="208"/>
      <c r="N184" s="208"/>
      <c r="O184" s="208"/>
      <c r="P184" s="208"/>
      <c r="R184" s="18"/>
    </row>
    <row r="185" spans="4:24" x14ac:dyDescent="0.2">
      <c r="D185" s="210"/>
      <c r="E185" s="210"/>
      <c r="F185" s="210"/>
      <c r="G185" s="210"/>
      <c r="H185" s="210"/>
      <c r="I185" s="210"/>
      <c r="J185" s="210"/>
      <c r="K185" s="210"/>
      <c r="L185" s="210"/>
      <c r="M185" s="210"/>
      <c r="N185" s="210"/>
      <c r="O185" s="210"/>
      <c r="P185" s="208"/>
      <c r="R185" s="209"/>
    </row>
    <row r="186" spans="4:24" x14ac:dyDescent="0.2">
      <c r="D186" s="208"/>
      <c r="E186" s="208"/>
      <c r="F186" s="208"/>
      <c r="G186" s="208"/>
      <c r="H186" s="208"/>
      <c r="I186" s="208"/>
      <c r="J186" s="208"/>
      <c r="K186" s="208"/>
      <c r="L186" s="208"/>
      <c r="M186" s="208"/>
      <c r="N186" s="222"/>
      <c r="O186" s="208"/>
      <c r="P186" s="209"/>
      <c r="Q186" s="209"/>
      <c r="R186" s="209"/>
    </row>
    <row r="187" spans="4:24" x14ac:dyDescent="0.2">
      <c r="D187" s="210"/>
      <c r="E187" s="210"/>
      <c r="F187" s="210"/>
      <c r="G187" s="210"/>
      <c r="H187" s="210"/>
      <c r="I187" s="210"/>
      <c r="J187" s="210"/>
      <c r="K187" s="210"/>
      <c r="L187" s="210"/>
      <c r="M187" s="210"/>
      <c r="N187" s="210"/>
      <c r="O187" s="210"/>
      <c r="P187" s="210"/>
      <c r="Q187" s="18"/>
      <c r="R187" s="18"/>
    </row>
    <row r="188" spans="4:24" x14ac:dyDescent="0.2">
      <c r="D188" s="208"/>
      <c r="E188" s="208"/>
      <c r="F188" s="208"/>
      <c r="G188" s="208"/>
      <c r="H188" s="208"/>
      <c r="I188" s="208"/>
      <c r="J188" s="208"/>
      <c r="K188" s="208"/>
      <c r="L188" s="208"/>
      <c r="M188" s="208"/>
      <c r="N188" s="208"/>
      <c r="O188" s="208"/>
      <c r="P188" s="209"/>
      <c r="Q188" s="209"/>
      <c r="R188" s="18"/>
      <c r="S188" s="209"/>
      <c r="T188" s="209"/>
    </row>
    <row r="189" spans="4:24" x14ac:dyDescent="0.2">
      <c r="D189" s="210"/>
      <c r="E189" s="210"/>
      <c r="F189" s="210"/>
      <c r="G189" s="210"/>
      <c r="H189" s="210"/>
      <c r="I189" s="210"/>
      <c r="J189" s="210"/>
      <c r="K189" s="210"/>
      <c r="L189" s="210"/>
      <c r="M189" s="210"/>
      <c r="N189" s="210"/>
      <c r="O189" s="210"/>
      <c r="P189" s="208"/>
      <c r="Q189" s="209"/>
    </row>
    <row r="190" spans="4:24" x14ac:dyDescent="0.2">
      <c r="D190" s="208"/>
      <c r="E190" s="208"/>
      <c r="F190" s="208"/>
      <c r="G190" s="208"/>
      <c r="H190" s="208"/>
      <c r="I190" s="208"/>
      <c r="J190" s="208"/>
      <c r="K190" s="208"/>
      <c r="L190" s="208"/>
      <c r="M190" s="208"/>
      <c r="N190" s="208"/>
      <c r="O190" s="208"/>
      <c r="P190" s="208"/>
      <c r="Q190" s="209"/>
      <c r="R190" s="209"/>
    </row>
    <row r="191" spans="4:24" x14ac:dyDescent="0.2">
      <c r="D191" s="208"/>
      <c r="E191" s="208"/>
      <c r="F191" s="208"/>
      <c r="G191" s="208"/>
      <c r="H191" s="208"/>
      <c r="I191" s="208"/>
      <c r="J191" s="208"/>
      <c r="K191" s="208"/>
      <c r="L191" s="208"/>
      <c r="M191" s="208"/>
      <c r="N191" s="208"/>
      <c r="O191" s="208"/>
      <c r="P191" s="208"/>
      <c r="Q191" s="209"/>
    </row>
    <row r="192" spans="4:24" x14ac:dyDescent="0.2"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209"/>
      <c r="Q192" s="18"/>
      <c r="R192" s="18"/>
      <c r="V192" s="221"/>
      <c r="X192" s="221"/>
    </row>
    <row r="193" spans="4:24" x14ac:dyDescent="0.2">
      <c r="D193" s="208"/>
      <c r="E193" s="208"/>
      <c r="F193" s="208"/>
      <c r="G193" s="208"/>
      <c r="H193" s="208"/>
      <c r="I193" s="208"/>
      <c r="J193" s="208"/>
      <c r="K193" s="208"/>
      <c r="L193" s="208"/>
      <c r="M193" s="208"/>
      <c r="N193" s="208"/>
      <c r="O193" s="208"/>
      <c r="P193" s="209"/>
      <c r="R193" s="18"/>
      <c r="V193" s="221"/>
      <c r="X193" s="221"/>
    </row>
    <row r="194" spans="4:24" x14ac:dyDescent="0.2">
      <c r="D194" s="210"/>
      <c r="E194" s="210"/>
      <c r="F194" s="210"/>
      <c r="G194" s="210"/>
      <c r="H194" s="210"/>
      <c r="I194" s="210"/>
      <c r="J194" s="210"/>
      <c r="K194" s="210"/>
      <c r="L194" s="210"/>
      <c r="M194" s="210"/>
      <c r="N194" s="210"/>
      <c r="O194" s="210"/>
      <c r="P194" s="208"/>
      <c r="R194" s="209"/>
      <c r="V194" s="221"/>
      <c r="X194" s="221"/>
    </row>
    <row r="195" spans="4:24" x14ac:dyDescent="0.2">
      <c r="D195" s="208"/>
      <c r="E195" s="208"/>
      <c r="F195" s="208"/>
      <c r="G195" s="208"/>
      <c r="H195" s="208"/>
      <c r="I195" s="208"/>
      <c r="J195" s="208"/>
      <c r="K195" s="208"/>
      <c r="L195" s="208"/>
      <c r="M195" s="208"/>
      <c r="N195" s="208"/>
      <c r="O195" s="208"/>
      <c r="P195" s="209"/>
      <c r="Q195" s="209"/>
      <c r="R195" s="209"/>
      <c r="V195" s="221"/>
      <c r="X195" s="221"/>
    </row>
    <row r="196" spans="4:24" x14ac:dyDescent="0.2">
      <c r="D196" s="210"/>
      <c r="E196" s="210"/>
      <c r="F196" s="210"/>
      <c r="G196" s="210"/>
      <c r="H196" s="210"/>
      <c r="I196" s="210"/>
      <c r="J196" s="210"/>
      <c r="K196" s="210"/>
      <c r="L196" s="210"/>
      <c r="M196" s="210"/>
      <c r="N196" s="210"/>
      <c r="O196" s="210"/>
      <c r="P196" s="210"/>
      <c r="Q196" s="18"/>
      <c r="R196" s="18"/>
      <c r="V196" s="221"/>
      <c r="X196" s="221"/>
    </row>
    <row r="197" spans="4:24" x14ac:dyDescent="0.2">
      <c r="D197" s="208"/>
      <c r="E197" s="208"/>
      <c r="F197" s="208"/>
      <c r="G197" s="208"/>
      <c r="H197" s="208"/>
      <c r="I197" s="208"/>
      <c r="J197" s="208"/>
      <c r="K197" s="208"/>
      <c r="L197" s="208"/>
      <c r="M197" s="208"/>
      <c r="N197" s="208"/>
      <c r="O197" s="208"/>
      <c r="P197" s="209"/>
      <c r="Q197" s="209"/>
      <c r="R197" s="18"/>
      <c r="S197" s="209"/>
      <c r="T197" s="209"/>
      <c r="V197" s="221"/>
      <c r="X197" s="221"/>
    </row>
    <row r="198" spans="4:24" x14ac:dyDescent="0.2">
      <c r="D198" s="210"/>
      <c r="E198" s="210"/>
      <c r="F198" s="210"/>
      <c r="G198" s="210"/>
      <c r="H198" s="210"/>
      <c r="I198" s="210"/>
      <c r="J198" s="210"/>
      <c r="K198" s="210"/>
      <c r="L198" s="210"/>
      <c r="M198" s="210"/>
      <c r="N198" s="210"/>
      <c r="O198" s="210"/>
      <c r="P198" s="208"/>
      <c r="Q198" s="209"/>
    </row>
    <row r="199" spans="4:24" x14ac:dyDescent="0.2">
      <c r="D199" s="208"/>
      <c r="E199" s="208"/>
      <c r="F199" s="208"/>
      <c r="G199" s="208"/>
      <c r="H199" s="208"/>
      <c r="I199" s="208"/>
      <c r="J199" s="208"/>
      <c r="K199" s="208"/>
      <c r="L199" s="208"/>
      <c r="M199" s="208"/>
      <c r="N199" s="208"/>
      <c r="O199" s="208"/>
      <c r="P199" s="208"/>
      <c r="Q199" s="209"/>
      <c r="R199" s="209"/>
    </row>
    <row r="200" spans="4:24" x14ac:dyDescent="0.2">
      <c r="D200" s="208"/>
      <c r="E200" s="208"/>
      <c r="F200" s="208"/>
      <c r="G200" s="208"/>
      <c r="H200" s="208"/>
      <c r="I200" s="208"/>
      <c r="J200" s="208"/>
      <c r="K200" s="208"/>
      <c r="L200" s="208"/>
      <c r="M200" s="208"/>
      <c r="N200" s="208"/>
      <c r="O200" s="208"/>
      <c r="P200" s="208"/>
      <c r="Q200" s="209"/>
    </row>
    <row r="201" spans="4:24" x14ac:dyDescent="0.2"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209"/>
      <c r="Q201" s="18"/>
      <c r="R201" s="18"/>
      <c r="V201" s="221"/>
      <c r="X201" s="221"/>
    </row>
    <row r="202" spans="4:24" x14ac:dyDescent="0.2">
      <c r="D202" s="208"/>
      <c r="E202" s="208"/>
      <c r="F202" s="208"/>
      <c r="G202" s="208"/>
      <c r="H202" s="208"/>
      <c r="I202" s="208"/>
      <c r="J202" s="208"/>
      <c r="K202" s="208"/>
      <c r="L202" s="208"/>
      <c r="M202" s="208"/>
      <c r="N202" s="208"/>
      <c r="O202" s="208"/>
      <c r="P202" s="208"/>
      <c r="R202" s="18"/>
      <c r="V202" s="221"/>
      <c r="X202" s="221"/>
    </row>
    <row r="203" spans="4:24" x14ac:dyDescent="0.2">
      <c r="D203" s="210"/>
      <c r="E203" s="210"/>
      <c r="F203" s="210"/>
      <c r="G203" s="210"/>
      <c r="H203" s="210"/>
      <c r="I203" s="210"/>
      <c r="J203" s="210"/>
      <c r="K203" s="210"/>
      <c r="L203" s="210"/>
      <c r="M203" s="210"/>
      <c r="N203" s="210"/>
      <c r="O203" s="210"/>
      <c r="P203" s="208"/>
      <c r="R203" s="209"/>
      <c r="V203" s="221"/>
      <c r="X203" s="221"/>
    </row>
    <row r="204" spans="4:24" x14ac:dyDescent="0.2">
      <c r="D204" s="208"/>
      <c r="E204" s="208"/>
      <c r="F204" s="208"/>
      <c r="G204" s="208"/>
      <c r="H204" s="208"/>
      <c r="I204" s="208"/>
      <c r="J204" s="208"/>
      <c r="K204" s="208"/>
      <c r="L204" s="208"/>
      <c r="M204" s="208"/>
      <c r="N204" s="208"/>
      <c r="O204" s="208"/>
      <c r="P204" s="209"/>
      <c r="Q204" s="209"/>
      <c r="R204" s="209"/>
      <c r="V204" s="221"/>
      <c r="X204" s="221"/>
    </row>
    <row r="205" spans="4:24" x14ac:dyDescent="0.2">
      <c r="D205" s="210"/>
      <c r="E205" s="210"/>
      <c r="F205" s="210"/>
      <c r="G205" s="210"/>
      <c r="H205" s="210"/>
      <c r="I205" s="210"/>
      <c r="J205" s="210"/>
      <c r="K205" s="210"/>
      <c r="L205" s="210"/>
      <c r="M205" s="210"/>
      <c r="N205" s="210"/>
      <c r="O205" s="210"/>
      <c r="P205" s="210"/>
      <c r="Q205" s="18"/>
      <c r="R205" s="18"/>
      <c r="V205" s="221"/>
      <c r="X205" s="221"/>
    </row>
    <row r="206" spans="4:24" x14ac:dyDescent="0.2">
      <c r="D206" s="208"/>
      <c r="E206" s="208"/>
      <c r="F206" s="208"/>
      <c r="G206" s="208"/>
      <c r="H206" s="208"/>
      <c r="I206" s="208"/>
      <c r="J206" s="208"/>
      <c r="K206" s="208"/>
      <c r="L206" s="208"/>
      <c r="M206" s="208"/>
      <c r="N206" s="208"/>
      <c r="O206" s="208"/>
      <c r="P206" s="209"/>
      <c r="Q206" s="209"/>
      <c r="R206" s="18"/>
      <c r="S206" s="209"/>
      <c r="T206" s="209"/>
      <c r="V206" s="221"/>
      <c r="X206" s="221"/>
    </row>
    <row r="207" spans="4:24" x14ac:dyDescent="0.2">
      <c r="D207" s="210"/>
      <c r="E207" s="210"/>
      <c r="F207" s="210"/>
      <c r="G207" s="210"/>
      <c r="H207" s="210"/>
      <c r="I207" s="210"/>
      <c r="J207" s="210"/>
      <c r="K207" s="210"/>
      <c r="L207" s="210"/>
      <c r="M207" s="210"/>
      <c r="N207" s="210"/>
      <c r="O207" s="210"/>
      <c r="P207" s="208"/>
      <c r="Q207" s="209"/>
    </row>
    <row r="208" spans="4:24" x14ac:dyDescent="0.2">
      <c r="D208" s="208"/>
      <c r="E208" s="208"/>
      <c r="F208" s="208"/>
      <c r="G208" s="208"/>
      <c r="H208" s="208"/>
      <c r="I208" s="208"/>
      <c r="J208" s="208"/>
      <c r="K208" s="208"/>
      <c r="L208" s="208"/>
      <c r="M208" s="208"/>
      <c r="N208" s="208"/>
      <c r="O208" s="208"/>
      <c r="P208" s="208"/>
      <c r="Q208" s="209"/>
      <c r="R208" s="209"/>
    </row>
    <row r="209" spans="1:24" x14ac:dyDescent="0.2">
      <c r="D209" s="208"/>
      <c r="E209" s="208"/>
      <c r="F209" s="208"/>
      <c r="G209" s="208"/>
      <c r="H209" s="208"/>
      <c r="I209" s="208"/>
      <c r="J209" s="208"/>
      <c r="K209" s="208"/>
      <c r="L209" s="208"/>
      <c r="M209" s="208"/>
      <c r="N209" s="208"/>
      <c r="O209" s="208"/>
      <c r="P209" s="208"/>
      <c r="Q209" s="209"/>
    </row>
    <row r="210" spans="1:24" x14ac:dyDescent="0.2">
      <c r="A210" s="8"/>
      <c r="B210" s="10"/>
      <c r="C210" s="10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209"/>
      <c r="Q210" s="18"/>
      <c r="R210" s="18"/>
      <c r="V210" s="221"/>
      <c r="X210" s="221"/>
    </row>
    <row r="211" spans="1:24" x14ac:dyDescent="0.2">
      <c r="D211" s="208"/>
      <c r="E211" s="208"/>
      <c r="F211" s="208"/>
      <c r="G211" s="208"/>
      <c r="H211" s="208"/>
      <c r="I211" s="208"/>
      <c r="J211" s="208"/>
      <c r="K211" s="208"/>
      <c r="L211" s="208"/>
      <c r="M211" s="208"/>
      <c r="N211" s="208"/>
      <c r="O211" s="208"/>
      <c r="P211" s="208"/>
      <c r="R211" s="18"/>
      <c r="V211" s="221"/>
      <c r="X211" s="221"/>
    </row>
    <row r="212" spans="1:24" x14ac:dyDescent="0.2">
      <c r="D212" s="210"/>
      <c r="E212" s="210"/>
      <c r="F212" s="210"/>
      <c r="G212" s="210"/>
      <c r="H212" s="210"/>
      <c r="I212" s="210"/>
      <c r="J212" s="210"/>
      <c r="K212" s="210"/>
      <c r="L212" s="210"/>
      <c r="M212" s="210"/>
      <c r="N212" s="210"/>
      <c r="O212" s="210"/>
      <c r="P212" s="208"/>
      <c r="R212" s="209"/>
      <c r="V212" s="221"/>
      <c r="X212" s="221"/>
    </row>
    <row r="213" spans="1:24" x14ac:dyDescent="0.2">
      <c r="D213" s="208"/>
      <c r="E213" s="208"/>
      <c r="F213" s="208"/>
      <c r="G213" s="208"/>
      <c r="H213" s="208"/>
      <c r="I213" s="208"/>
      <c r="J213" s="208"/>
      <c r="K213" s="208"/>
      <c r="L213" s="208"/>
      <c r="M213" s="208"/>
      <c r="N213" s="208"/>
      <c r="O213" s="208"/>
      <c r="P213" s="209"/>
      <c r="Q213" s="209"/>
      <c r="R213" s="209"/>
      <c r="V213" s="221"/>
      <c r="X213" s="221"/>
    </row>
    <row r="214" spans="1:24" x14ac:dyDescent="0.2">
      <c r="D214" s="210"/>
      <c r="E214" s="210"/>
      <c r="F214" s="210"/>
      <c r="G214" s="210"/>
      <c r="H214" s="210"/>
      <c r="I214" s="210"/>
      <c r="J214" s="210"/>
      <c r="K214" s="210"/>
      <c r="L214" s="210"/>
      <c r="M214" s="210"/>
      <c r="N214" s="210"/>
      <c r="O214" s="210"/>
      <c r="P214" s="210"/>
      <c r="Q214" s="18"/>
      <c r="R214" s="18"/>
      <c r="V214" s="221"/>
      <c r="X214" s="221"/>
    </row>
    <row r="215" spans="1:24" x14ac:dyDescent="0.2">
      <c r="D215" s="208"/>
      <c r="E215" s="208"/>
      <c r="F215" s="208"/>
      <c r="G215" s="208"/>
      <c r="H215" s="208"/>
      <c r="I215" s="208"/>
      <c r="J215" s="208"/>
      <c r="K215" s="208"/>
      <c r="L215" s="208"/>
      <c r="M215" s="208"/>
      <c r="N215" s="208"/>
      <c r="O215" s="208"/>
      <c r="P215" s="209"/>
      <c r="Q215" s="209"/>
      <c r="R215" s="18"/>
      <c r="S215" s="209"/>
      <c r="T215" s="209"/>
      <c r="V215" s="221"/>
      <c r="X215" s="221"/>
    </row>
    <row r="216" spans="1:24" x14ac:dyDescent="0.2">
      <c r="D216" s="210"/>
      <c r="E216" s="210"/>
      <c r="F216" s="210"/>
      <c r="G216" s="210"/>
      <c r="H216" s="210"/>
      <c r="I216" s="210"/>
      <c r="J216" s="210"/>
      <c r="K216" s="210"/>
      <c r="L216" s="210"/>
      <c r="M216" s="210"/>
      <c r="N216" s="210"/>
      <c r="O216" s="210"/>
      <c r="P216" s="210"/>
      <c r="Q216" s="209"/>
    </row>
    <row r="217" spans="1:24" x14ac:dyDescent="0.2">
      <c r="D217" s="208"/>
      <c r="E217" s="208"/>
      <c r="F217" s="208"/>
      <c r="G217" s="208"/>
      <c r="H217" s="208"/>
      <c r="I217" s="208"/>
      <c r="J217" s="208"/>
      <c r="K217" s="208"/>
      <c r="L217" s="208"/>
      <c r="M217" s="208"/>
      <c r="N217" s="208"/>
      <c r="O217" s="208"/>
      <c r="P217" s="208"/>
      <c r="Q217" s="209"/>
      <c r="R217" s="209"/>
    </row>
    <row r="218" spans="1:24" x14ac:dyDescent="0.2">
      <c r="D218" s="208"/>
      <c r="E218" s="208"/>
      <c r="F218" s="208"/>
      <c r="G218" s="208"/>
      <c r="H218" s="208"/>
      <c r="I218" s="208"/>
      <c r="J218" s="208"/>
      <c r="K218" s="208"/>
      <c r="L218" s="208"/>
      <c r="M218" s="208"/>
      <c r="N218" s="208"/>
      <c r="O218" s="208"/>
      <c r="P218" s="208"/>
      <c r="Q218" s="209"/>
    </row>
    <row r="219" spans="1:24" x14ac:dyDescent="0.2"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209"/>
      <c r="Q219" s="18"/>
      <c r="R219" s="18"/>
      <c r="V219" s="221"/>
      <c r="X219" s="221"/>
    </row>
    <row r="220" spans="1:24" x14ac:dyDescent="0.2">
      <c r="D220" s="208"/>
      <c r="E220" s="208"/>
      <c r="F220" s="208"/>
      <c r="G220" s="208"/>
      <c r="H220" s="208"/>
      <c r="I220" s="208"/>
      <c r="J220" s="208"/>
      <c r="K220" s="208"/>
      <c r="L220" s="208"/>
      <c r="M220" s="208"/>
      <c r="N220" s="208"/>
      <c r="O220" s="208"/>
      <c r="P220" s="208"/>
      <c r="R220" s="18"/>
      <c r="V220" s="221"/>
      <c r="X220" s="221"/>
    </row>
    <row r="221" spans="1:24" x14ac:dyDescent="0.2">
      <c r="D221" s="210"/>
      <c r="E221" s="210"/>
      <c r="F221" s="210"/>
      <c r="G221" s="210"/>
      <c r="H221" s="210"/>
      <c r="I221" s="210"/>
      <c r="J221" s="210"/>
      <c r="K221" s="210"/>
      <c r="L221" s="210"/>
      <c r="M221" s="210"/>
      <c r="N221" s="210"/>
      <c r="O221" s="210"/>
      <c r="P221" s="208"/>
      <c r="R221" s="209"/>
      <c r="V221" s="221"/>
      <c r="X221" s="221"/>
    </row>
    <row r="222" spans="1:24" x14ac:dyDescent="0.2">
      <c r="D222" s="208"/>
      <c r="E222" s="208"/>
      <c r="F222" s="208"/>
      <c r="G222" s="208"/>
      <c r="H222" s="208"/>
      <c r="I222" s="208"/>
      <c r="J222" s="208"/>
      <c r="K222" s="208"/>
      <c r="L222" s="208"/>
      <c r="M222" s="208"/>
      <c r="N222" s="208"/>
      <c r="O222" s="208"/>
      <c r="P222" s="209"/>
      <c r="Q222" s="209"/>
      <c r="R222" s="209"/>
      <c r="V222" s="221"/>
      <c r="X222" s="221"/>
    </row>
    <row r="223" spans="1:24" x14ac:dyDescent="0.2">
      <c r="D223" s="210"/>
      <c r="E223" s="210"/>
      <c r="F223" s="210"/>
      <c r="G223" s="210"/>
      <c r="H223" s="210"/>
      <c r="I223" s="210"/>
      <c r="J223" s="210"/>
      <c r="K223" s="210"/>
      <c r="L223" s="210"/>
      <c r="M223" s="210"/>
      <c r="N223" s="210"/>
      <c r="O223" s="210"/>
      <c r="P223" s="210"/>
      <c r="Q223" s="18"/>
      <c r="R223" s="18"/>
      <c r="V223" s="221"/>
      <c r="X223" s="221"/>
    </row>
    <row r="224" spans="1:24" x14ac:dyDescent="0.2">
      <c r="D224" s="208"/>
      <c r="E224" s="208"/>
      <c r="F224" s="208"/>
      <c r="G224" s="208"/>
      <c r="H224" s="208"/>
      <c r="I224" s="208"/>
      <c r="J224" s="208"/>
      <c r="K224" s="208"/>
      <c r="L224" s="208"/>
      <c r="M224" s="208"/>
      <c r="N224" s="208"/>
      <c r="O224" s="208"/>
      <c r="P224" s="209"/>
      <c r="Q224" s="209"/>
      <c r="R224" s="18"/>
      <c r="S224" s="209"/>
      <c r="T224" s="209"/>
      <c r="V224" s="221"/>
      <c r="X224" s="221"/>
    </row>
    <row r="225" spans="4:24" x14ac:dyDescent="0.2">
      <c r="D225" s="210"/>
      <c r="E225" s="210"/>
      <c r="F225" s="210"/>
      <c r="G225" s="210"/>
      <c r="H225" s="210"/>
      <c r="I225" s="210"/>
      <c r="J225" s="210"/>
      <c r="K225" s="210"/>
      <c r="L225" s="210"/>
      <c r="M225" s="210"/>
      <c r="N225" s="210"/>
      <c r="O225" s="210"/>
      <c r="P225" s="210"/>
      <c r="Q225" s="209"/>
    </row>
    <row r="226" spans="4:24" x14ac:dyDescent="0.2">
      <c r="D226" s="208"/>
      <c r="E226" s="208"/>
      <c r="F226" s="208"/>
      <c r="G226" s="208"/>
      <c r="H226" s="208"/>
      <c r="I226" s="208"/>
      <c r="J226" s="208"/>
      <c r="K226" s="208"/>
      <c r="L226" s="208"/>
      <c r="M226" s="208"/>
      <c r="N226" s="208"/>
      <c r="O226" s="208"/>
      <c r="P226" s="208"/>
      <c r="Q226" s="209"/>
      <c r="R226" s="209"/>
    </row>
    <row r="227" spans="4:24" x14ac:dyDescent="0.2">
      <c r="D227" s="208"/>
      <c r="E227" s="208"/>
      <c r="F227" s="208"/>
      <c r="G227" s="208"/>
      <c r="H227" s="208"/>
      <c r="I227" s="208"/>
      <c r="J227" s="208"/>
      <c r="K227" s="208"/>
      <c r="L227" s="208"/>
      <c r="M227" s="208"/>
      <c r="N227" s="208"/>
      <c r="O227" s="208"/>
      <c r="P227" s="208"/>
      <c r="Q227" s="209"/>
    </row>
    <row r="228" spans="4:24" x14ac:dyDescent="0.2"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209"/>
      <c r="Q228" s="18"/>
      <c r="R228" s="18"/>
      <c r="V228" s="221"/>
      <c r="X228" s="221"/>
    </row>
    <row r="229" spans="4:24" x14ac:dyDescent="0.2">
      <c r="D229" s="208"/>
      <c r="E229" s="208"/>
      <c r="F229" s="208"/>
      <c r="G229" s="208"/>
      <c r="H229" s="208"/>
      <c r="I229" s="208"/>
      <c r="J229" s="208"/>
      <c r="K229" s="208"/>
      <c r="L229" s="208"/>
      <c r="M229" s="208"/>
      <c r="N229" s="208"/>
      <c r="O229" s="208"/>
      <c r="P229" s="208"/>
      <c r="R229" s="18"/>
      <c r="V229" s="221"/>
      <c r="X229" s="221"/>
    </row>
    <row r="230" spans="4:24" x14ac:dyDescent="0.2">
      <c r="D230" s="210"/>
      <c r="E230" s="210"/>
      <c r="F230" s="210"/>
      <c r="G230" s="210"/>
      <c r="H230" s="210"/>
      <c r="I230" s="210"/>
      <c r="J230" s="210"/>
      <c r="K230" s="210"/>
      <c r="L230" s="210"/>
      <c r="M230" s="210"/>
      <c r="N230" s="210"/>
      <c r="O230" s="210"/>
      <c r="P230" s="208"/>
      <c r="R230" s="209"/>
      <c r="V230" s="221"/>
      <c r="X230" s="221"/>
    </row>
    <row r="231" spans="4:24" x14ac:dyDescent="0.2">
      <c r="D231" s="208"/>
      <c r="E231" s="208"/>
      <c r="F231" s="208"/>
      <c r="G231" s="208"/>
      <c r="H231" s="208"/>
      <c r="I231" s="208"/>
      <c r="J231" s="208"/>
      <c r="K231" s="208"/>
      <c r="L231" s="208"/>
      <c r="M231" s="208"/>
      <c r="N231" s="208"/>
      <c r="O231" s="208"/>
      <c r="P231" s="209"/>
      <c r="Q231" s="209"/>
      <c r="R231" s="209"/>
      <c r="V231" s="221"/>
      <c r="X231" s="221"/>
    </row>
    <row r="232" spans="4:24" x14ac:dyDescent="0.2">
      <c r="D232" s="210"/>
      <c r="E232" s="210"/>
      <c r="F232" s="210"/>
      <c r="G232" s="210"/>
      <c r="H232" s="210"/>
      <c r="I232" s="210"/>
      <c r="J232" s="210"/>
      <c r="K232" s="210"/>
      <c r="L232" s="210"/>
      <c r="M232" s="210"/>
      <c r="N232" s="210"/>
      <c r="O232" s="210"/>
      <c r="P232" s="210"/>
      <c r="Q232" s="18"/>
      <c r="R232" s="18"/>
      <c r="V232" s="221"/>
      <c r="X232" s="221"/>
    </row>
    <row r="233" spans="4:24" x14ac:dyDescent="0.2">
      <c r="D233" s="208"/>
      <c r="E233" s="208"/>
      <c r="F233" s="208"/>
      <c r="G233" s="208"/>
      <c r="H233" s="208"/>
      <c r="I233" s="208"/>
      <c r="J233" s="208"/>
      <c r="K233" s="208"/>
      <c r="L233" s="208"/>
      <c r="M233" s="208"/>
      <c r="N233" s="208"/>
      <c r="O233" s="208"/>
      <c r="P233" s="209"/>
      <c r="Q233" s="209"/>
      <c r="R233" s="18"/>
      <c r="S233" s="209"/>
      <c r="T233" s="209"/>
      <c r="V233" s="221"/>
      <c r="X233" s="221"/>
    </row>
    <row r="234" spans="4:24" x14ac:dyDescent="0.2">
      <c r="D234" s="210"/>
      <c r="E234" s="210"/>
      <c r="F234" s="210"/>
      <c r="G234" s="210"/>
      <c r="H234" s="210"/>
      <c r="I234" s="210"/>
      <c r="J234" s="210"/>
      <c r="K234" s="210"/>
      <c r="L234" s="210"/>
      <c r="M234" s="210"/>
      <c r="N234" s="210"/>
      <c r="O234" s="210"/>
      <c r="P234" s="210"/>
      <c r="Q234" s="209"/>
    </row>
    <row r="235" spans="4:24" x14ac:dyDescent="0.2">
      <c r="D235" s="208"/>
      <c r="E235" s="208"/>
      <c r="F235" s="208"/>
      <c r="G235" s="208"/>
      <c r="H235" s="208"/>
      <c r="I235" s="208"/>
      <c r="J235" s="208"/>
      <c r="K235" s="208"/>
      <c r="L235" s="208"/>
      <c r="M235" s="208"/>
      <c r="N235" s="208"/>
      <c r="O235" s="208"/>
      <c r="P235" s="208"/>
      <c r="Q235" s="209"/>
      <c r="R235" s="209"/>
    </row>
    <row r="236" spans="4:24" x14ac:dyDescent="0.2">
      <c r="D236" s="208"/>
      <c r="E236" s="208"/>
      <c r="F236" s="208"/>
      <c r="G236" s="208"/>
      <c r="H236" s="208"/>
      <c r="I236" s="208"/>
      <c r="J236" s="208"/>
      <c r="K236" s="208"/>
      <c r="L236" s="208"/>
      <c r="M236" s="208"/>
      <c r="N236" s="208"/>
      <c r="O236" s="208"/>
      <c r="P236" s="208"/>
      <c r="Q236" s="209"/>
    </row>
    <row r="237" spans="4:24" x14ac:dyDescent="0.2"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209"/>
      <c r="Q237" s="18"/>
      <c r="R237" s="18"/>
      <c r="V237" s="221"/>
      <c r="X237" s="221"/>
    </row>
    <row r="238" spans="4:24" x14ac:dyDescent="0.2">
      <c r="D238" s="208"/>
      <c r="E238" s="208"/>
      <c r="F238" s="208"/>
      <c r="G238" s="208"/>
      <c r="H238" s="208"/>
      <c r="I238" s="208"/>
      <c r="J238" s="208"/>
      <c r="K238" s="208"/>
      <c r="L238" s="208"/>
      <c r="M238" s="208"/>
      <c r="N238" s="208"/>
      <c r="O238" s="208"/>
      <c r="P238" s="208"/>
      <c r="R238" s="18"/>
      <c r="V238" s="221"/>
      <c r="X238" s="221"/>
    </row>
    <row r="239" spans="4:24" x14ac:dyDescent="0.2">
      <c r="D239" s="210"/>
      <c r="E239" s="210"/>
      <c r="F239" s="210"/>
      <c r="G239" s="210"/>
      <c r="H239" s="210"/>
      <c r="I239" s="210"/>
      <c r="J239" s="210"/>
      <c r="K239" s="210"/>
      <c r="L239" s="210"/>
      <c r="M239" s="210"/>
      <c r="N239" s="210"/>
      <c r="O239" s="210"/>
      <c r="P239" s="208"/>
      <c r="R239" s="209"/>
      <c r="V239" s="221"/>
      <c r="X239" s="221"/>
    </row>
    <row r="240" spans="4:24" x14ac:dyDescent="0.2">
      <c r="D240" s="208"/>
      <c r="E240" s="208"/>
      <c r="F240" s="208"/>
      <c r="G240" s="208"/>
      <c r="H240" s="208"/>
      <c r="I240" s="208"/>
      <c r="J240" s="208"/>
      <c r="K240" s="208"/>
      <c r="L240" s="208"/>
      <c r="M240" s="208"/>
      <c r="N240" s="208"/>
      <c r="O240" s="208"/>
      <c r="P240" s="209"/>
      <c r="Q240" s="209"/>
      <c r="R240" s="209"/>
      <c r="V240" s="221"/>
      <c r="X240" s="221"/>
    </row>
    <row r="241" spans="1:24" x14ac:dyDescent="0.2">
      <c r="D241" s="210"/>
      <c r="E241" s="210"/>
      <c r="F241" s="210"/>
      <c r="G241" s="210"/>
      <c r="H241" s="210"/>
      <c r="I241" s="210"/>
      <c r="J241" s="210"/>
      <c r="K241" s="210"/>
      <c r="L241" s="210"/>
      <c r="M241" s="210"/>
      <c r="N241" s="210"/>
      <c r="O241" s="210"/>
      <c r="P241" s="210"/>
      <c r="Q241" s="18"/>
      <c r="R241" s="18"/>
      <c r="V241" s="221"/>
      <c r="X241" s="221"/>
    </row>
    <row r="242" spans="1:24" x14ac:dyDescent="0.2">
      <c r="D242" s="208"/>
      <c r="E242" s="208"/>
      <c r="F242" s="208"/>
      <c r="G242" s="208"/>
      <c r="H242" s="208"/>
      <c r="I242" s="208"/>
      <c r="J242" s="208"/>
      <c r="K242" s="208"/>
      <c r="L242" s="208"/>
      <c r="M242" s="208"/>
      <c r="N242" s="208"/>
      <c r="O242" s="208"/>
      <c r="P242" s="209"/>
      <c r="Q242" s="209"/>
      <c r="R242" s="18"/>
      <c r="S242" s="209"/>
      <c r="T242" s="209"/>
      <c r="V242" s="221"/>
      <c r="X242" s="221"/>
    </row>
    <row r="243" spans="1:24" x14ac:dyDescent="0.2">
      <c r="D243" s="210"/>
      <c r="E243" s="210"/>
      <c r="F243" s="210"/>
      <c r="G243" s="210"/>
      <c r="H243" s="210"/>
      <c r="I243" s="210"/>
      <c r="J243" s="210"/>
      <c r="K243" s="210"/>
      <c r="L243" s="210"/>
      <c r="M243" s="210"/>
      <c r="N243" s="210"/>
      <c r="O243" s="210"/>
      <c r="P243" s="210"/>
      <c r="Q243" s="209"/>
    </row>
    <row r="244" spans="1:24" x14ac:dyDescent="0.2">
      <c r="D244" s="208"/>
      <c r="E244" s="208"/>
      <c r="F244" s="208"/>
      <c r="G244" s="208"/>
      <c r="H244" s="208"/>
      <c r="I244" s="208"/>
      <c r="J244" s="208"/>
      <c r="K244" s="208"/>
      <c r="L244" s="208"/>
      <c r="M244" s="208"/>
      <c r="N244" s="208"/>
      <c r="O244" s="208"/>
      <c r="P244" s="208"/>
      <c r="Q244" s="209"/>
      <c r="R244" s="209"/>
    </row>
    <row r="245" spans="1:24" x14ac:dyDescent="0.2">
      <c r="D245" s="208"/>
      <c r="E245" s="208"/>
      <c r="F245" s="208"/>
      <c r="G245" s="208"/>
      <c r="H245" s="208"/>
      <c r="I245" s="208"/>
      <c r="J245" s="208"/>
      <c r="K245" s="208"/>
      <c r="L245" s="208"/>
      <c r="M245" s="208"/>
      <c r="N245" s="208"/>
      <c r="O245" s="208"/>
      <c r="P245" s="208"/>
      <c r="Q245" s="209"/>
    </row>
    <row r="246" spans="1:24" x14ac:dyDescent="0.2">
      <c r="A246" s="8"/>
      <c r="B246" s="10"/>
      <c r="C246" s="10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209"/>
      <c r="Q246" s="18"/>
      <c r="R246" s="18"/>
      <c r="V246" s="221"/>
      <c r="X246" s="221"/>
    </row>
    <row r="247" spans="1:24" x14ac:dyDescent="0.2">
      <c r="D247" s="208"/>
      <c r="E247" s="208"/>
      <c r="F247" s="208"/>
      <c r="G247" s="208"/>
      <c r="H247" s="208"/>
      <c r="I247" s="208"/>
      <c r="J247" s="208"/>
      <c r="K247" s="208"/>
      <c r="L247" s="208"/>
      <c r="M247" s="208"/>
      <c r="N247" s="208"/>
      <c r="O247" s="208"/>
      <c r="P247" s="208"/>
      <c r="R247" s="18"/>
      <c r="V247" s="221"/>
      <c r="X247" s="221"/>
    </row>
    <row r="248" spans="1:24" x14ac:dyDescent="0.2">
      <c r="D248" s="210"/>
      <c r="E248" s="210"/>
      <c r="F248" s="210"/>
      <c r="G248" s="210"/>
      <c r="H248" s="210"/>
      <c r="I248" s="210"/>
      <c r="J248" s="210"/>
      <c r="K248" s="210"/>
      <c r="L248" s="210"/>
      <c r="M248" s="210"/>
      <c r="N248" s="210"/>
      <c r="O248" s="210"/>
      <c r="P248" s="208"/>
      <c r="R248" s="209"/>
      <c r="V248" s="221"/>
      <c r="X248" s="221"/>
    </row>
    <row r="249" spans="1:24" x14ac:dyDescent="0.2">
      <c r="D249" s="208"/>
      <c r="E249" s="208"/>
      <c r="F249" s="208"/>
      <c r="G249" s="208"/>
      <c r="H249" s="208"/>
      <c r="I249" s="208"/>
      <c r="J249" s="208"/>
      <c r="K249" s="208"/>
      <c r="L249" s="208"/>
      <c r="M249" s="208"/>
      <c r="N249" s="208"/>
      <c r="O249" s="208"/>
      <c r="P249" s="209"/>
      <c r="Q249" s="209"/>
      <c r="R249" s="209"/>
      <c r="V249" s="221"/>
      <c r="X249" s="221"/>
    </row>
    <row r="250" spans="1:24" x14ac:dyDescent="0.2">
      <c r="D250" s="210"/>
      <c r="E250" s="210"/>
      <c r="F250" s="210"/>
      <c r="G250" s="210"/>
      <c r="H250" s="210"/>
      <c r="I250" s="210"/>
      <c r="J250" s="210"/>
      <c r="K250" s="210"/>
      <c r="L250" s="210"/>
      <c r="M250" s="210"/>
      <c r="N250" s="210"/>
      <c r="O250" s="210"/>
      <c r="P250" s="210"/>
      <c r="Q250" s="18"/>
      <c r="R250" s="18"/>
      <c r="V250" s="221"/>
      <c r="X250" s="221"/>
    </row>
    <row r="251" spans="1:24" x14ac:dyDescent="0.2">
      <c r="D251" s="208"/>
      <c r="E251" s="208"/>
      <c r="F251" s="208"/>
      <c r="G251" s="208"/>
      <c r="H251" s="208"/>
      <c r="I251" s="208"/>
      <c r="J251" s="208"/>
      <c r="K251" s="208"/>
      <c r="L251" s="208"/>
      <c r="M251" s="208"/>
      <c r="N251" s="208"/>
      <c r="O251" s="208"/>
      <c r="P251" s="209"/>
      <c r="Q251" s="209"/>
      <c r="R251" s="18"/>
      <c r="S251" s="209"/>
      <c r="T251" s="209"/>
      <c r="V251" s="221"/>
      <c r="X251" s="221"/>
    </row>
    <row r="252" spans="1:24" x14ac:dyDescent="0.2">
      <c r="D252" s="210"/>
      <c r="E252" s="210"/>
      <c r="F252" s="210"/>
      <c r="G252" s="210"/>
      <c r="H252" s="210"/>
      <c r="I252" s="210"/>
      <c r="J252" s="210"/>
      <c r="K252" s="210"/>
      <c r="L252" s="210"/>
      <c r="M252" s="210"/>
      <c r="N252" s="210"/>
      <c r="O252" s="210"/>
      <c r="P252" s="210"/>
      <c r="Q252" s="209"/>
    </row>
    <row r="253" spans="1:24" x14ac:dyDescent="0.2">
      <c r="D253" s="208"/>
      <c r="E253" s="208"/>
      <c r="F253" s="208"/>
      <c r="G253" s="208"/>
      <c r="H253" s="208"/>
      <c r="I253" s="208"/>
      <c r="J253" s="208"/>
      <c r="K253" s="208"/>
      <c r="L253" s="208"/>
      <c r="M253" s="208"/>
      <c r="N253" s="208"/>
      <c r="O253" s="208"/>
      <c r="P253" s="208"/>
      <c r="Q253" s="209"/>
      <c r="R253" s="209"/>
    </row>
    <row r="254" spans="1:24" x14ac:dyDescent="0.2">
      <c r="D254" s="208"/>
      <c r="E254" s="208"/>
      <c r="F254" s="208"/>
      <c r="G254" s="208"/>
      <c r="H254" s="208"/>
      <c r="I254" s="208"/>
      <c r="J254" s="208"/>
      <c r="K254" s="208"/>
      <c r="L254" s="208"/>
      <c r="M254" s="208"/>
      <c r="N254" s="208"/>
      <c r="O254" s="208"/>
      <c r="P254" s="208"/>
      <c r="Q254" s="209"/>
    </row>
    <row r="255" spans="1:24" x14ac:dyDescent="0.2">
      <c r="A255" s="8"/>
      <c r="B255" s="10"/>
      <c r="C255" s="10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209"/>
      <c r="Q255" s="18"/>
      <c r="R255" s="18"/>
      <c r="V255" s="221"/>
      <c r="X255" s="221"/>
    </row>
    <row r="256" spans="1:24" x14ac:dyDescent="0.2">
      <c r="D256" s="208"/>
      <c r="E256" s="208"/>
      <c r="F256" s="208"/>
      <c r="G256" s="208"/>
      <c r="H256" s="208"/>
      <c r="I256" s="208"/>
      <c r="J256" s="208"/>
      <c r="K256" s="208"/>
      <c r="L256" s="208"/>
      <c r="M256" s="208"/>
      <c r="N256" s="208"/>
      <c r="O256" s="208"/>
      <c r="P256" s="208"/>
      <c r="R256" s="18"/>
      <c r="V256" s="221"/>
      <c r="X256" s="221"/>
    </row>
    <row r="257" spans="4:24" x14ac:dyDescent="0.2">
      <c r="D257" s="210"/>
      <c r="E257" s="210"/>
      <c r="F257" s="210"/>
      <c r="G257" s="210"/>
      <c r="H257" s="210"/>
      <c r="I257" s="210"/>
      <c r="J257" s="210"/>
      <c r="K257" s="210"/>
      <c r="L257" s="210"/>
      <c r="M257" s="210"/>
      <c r="N257" s="210"/>
      <c r="O257" s="210"/>
      <c r="P257" s="208"/>
      <c r="R257" s="209"/>
      <c r="V257" s="221"/>
      <c r="X257" s="221"/>
    </row>
    <row r="258" spans="4:24" x14ac:dyDescent="0.2">
      <c r="D258" s="208"/>
      <c r="E258" s="208"/>
      <c r="F258" s="208"/>
      <c r="G258" s="208"/>
      <c r="H258" s="208"/>
      <c r="I258" s="208"/>
      <c r="J258" s="208"/>
      <c r="K258" s="208"/>
      <c r="L258" s="208"/>
      <c r="M258" s="208"/>
      <c r="N258" s="208"/>
      <c r="O258" s="208"/>
      <c r="P258" s="209"/>
      <c r="Q258" s="209"/>
      <c r="R258" s="209"/>
      <c r="V258" s="221"/>
      <c r="X258" s="221"/>
    </row>
    <row r="259" spans="4:24" x14ac:dyDescent="0.2">
      <c r="D259" s="210"/>
      <c r="E259" s="210"/>
      <c r="F259" s="210"/>
      <c r="G259" s="210"/>
      <c r="H259" s="210"/>
      <c r="I259" s="210"/>
      <c r="J259" s="210"/>
      <c r="K259" s="210"/>
      <c r="L259" s="210"/>
      <c r="M259" s="210"/>
      <c r="N259" s="210"/>
      <c r="O259" s="210"/>
      <c r="P259" s="210"/>
      <c r="Q259" s="18"/>
      <c r="R259" s="18"/>
      <c r="V259" s="221"/>
      <c r="X259" s="221"/>
    </row>
    <row r="260" spans="4:24" x14ac:dyDescent="0.2">
      <c r="D260" s="208"/>
      <c r="E260" s="208"/>
      <c r="F260" s="208"/>
      <c r="G260" s="208"/>
      <c r="H260" s="208"/>
      <c r="I260" s="208"/>
      <c r="J260" s="208"/>
      <c r="K260" s="208"/>
      <c r="L260" s="208"/>
      <c r="M260" s="208"/>
      <c r="N260" s="208"/>
      <c r="O260" s="208"/>
      <c r="P260" s="209"/>
      <c r="Q260" s="209"/>
      <c r="R260" s="18"/>
      <c r="S260" s="209"/>
      <c r="T260" s="209"/>
      <c r="V260" s="221"/>
      <c r="X260" s="221"/>
    </row>
    <row r="261" spans="4:24" x14ac:dyDescent="0.2">
      <c r="D261" s="210"/>
      <c r="E261" s="210"/>
      <c r="F261" s="210"/>
      <c r="G261" s="210"/>
      <c r="H261" s="210"/>
      <c r="I261" s="210"/>
      <c r="J261" s="210"/>
      <c r="K261" s="210"/>
      <c r="L261" s="210"/>
      <c r="M261" s="210"/>
      <c r="N261" s="210"/>
      <c r="O261" s="210"/>
      <c r="P261" s="210"/>
      <c r="Q261" s="209"/>
    </row>
    <row r="262" spans="4:24" x14ac:dyDescent="0.2">
      <c r="D262" s="208"/>
      <c r="E262" s="208"/>
      <c r="F262" s="208"/>
      <c r="G262" s="208"/>
      <c r="H262" s="208"/>
      <c r="I262" s="208"/>
      <c r="J262" s="208"/>
      <c r="K262" s="208"/>
      <c r="L262" s="208"/>
      <c r="M262" s="208"/>
      <c r="N262" s="208"/>
      <c r="O262" s="208"/>
      <c r="P262" s="208"/>
      <c r="Q262" s="209"/>
      <c r="R262" s="209"/>
    </row>
    <row r="263" spans="4:24" x14ac:dyDescent="0.2">
      <c r="D263" s="208"/>
      <c r="E263" s="208"/>
      <c r="F263" s="208"/>
      <c r="G263" s="208"/>
      <c r="H263" s="208"/>
      <c r="I263" s="208"/>
      <c r="J263" s="208"/>
      <c r="K263" s="208"/>
      <c r="L263" s="208"/>
      <c r="M263" s="208"/>
      <c r="N263" s="208"/>
      <c r="O263" s="208"/>
      <c r="P263" s="208"/>
      <c r="Q263" s="209"/>
    </row>
    <row r="264" spans="4:24" x14ac:dyDescent="0.2"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209"/>
      <c r="Q264" s="18"/>
      <c r="R264" s="18"/>
      <c r="V264" s="221"/>
      <c r="X264" s="221"/>
    </row>
    <row r="265" spans="4:24" x14ac:dyDescent="0.2">
      <c r="D265" s="208"/>
      <c r="E265" s="208"/>
      <c r="F265" s="208"/>
      <c r="G265" s="208"/>
      <c r="H265" s="208"/>
      <c r="I265" s="208"/>
      <c r="J265" s="208"/>
      <c r="K265" s="208"/>
      <c r="L265" s="208"/>
      <c r="M265" s="208"/>
      <c r="N265" s="208"/>
      <c r="O265" s="208"/>
      <c r="P265" s="208"/>
      <c r="R265" s="18"/>
      <c r="V265" s="221"/>
      <c r="X265" s="221"/>
    </row>
    <row r="266" spans="4:24" x14ac:dyDescent="0.2">
      <c r="D266" s="210"/>
      <c r="E266" s="210"/>
      <c r="F266" s="210"/>
      <c r="G266" s="210"/>
      <c r="H266" s="210"/>
      <c r="I266" s="210"/>
      <c r="J266" s="210"/>
      <c r="K266" s="210"/>
      <c r="L266" s="210"/>
      <c r="M266" s="210"/>
      <c r="N266" s="210"/>
      <c r="O266" s="210"/>
      <c r="P266" s="208"/>
      <c r="R266" s="209"/>
      <c r="V266" s="221"/>
      <c r="X266" s="221"/>
    </row>
    <row r="267" spans="4:24" x14ac:dyDescent="0.2">
      <c r="D267" s="208"/>
      <c r="E267" s="208"/>
      <c r="F267" s="208"/>
      <c r="G267" s="208"/>
      <c r="H267" s="208"/>
      <c r="I267" s="208"/>
      <c r="J267" s="208"/>
      <c r="K267" s="208"/>
      <c r="L267" s="208"/>
      <c r="M267" s="208"/>
      <c r="N267" s="208"/>
      <c r="O267" s="208"/>
      <c r="P267" s="209"/>
      <c r="Q267" s="209"/>
      <c r="R267" s="209"/>
      <c r="V267" s="221"/>
      <c r="X267" s="221"/>
    </row>
    <row r="268" spans="4:24" x14ac:dyDescent="0.2">
      <c r="D268" s="210"/>
      <c r="E268" s="210"/>
      <c r="F268" s="210"/>
      <c r="G268" s="210"/>
      <c r="H268" s="210"/>
      <c r="I268" s="210"/>
      <c r="J268" s="210"/>
      <c r="K268" s="210"/>
      <c r="L268" s="210"/>
      <c r="M268" s="210"/>
      <c r="N268" s="210"/>
      <c r="O268" s="210"/>
      <c r="P268" s="210"/>
      <c r="Q268" s="18"/>
      <c r="R268" s="18"/>
      <c r="V268" s="221"/>
      <c r="X268" s="221"/>
    </row>
    <row r="269" spans="4:24" x14ac:dyDescent="0.2">
      <c r="D269" s="208"/>
      <c r="E269" s="208"/>
      <c r="F269" s="208"/>
      <c r="G269" s="208"/>
      <c r="H269" s="208"/>
      <c r="I269" s="208"/>
      <c r="J269" s="208"/>
      <c r="K269" s="208"/>
      <c r="L269" s="208"/>
      <c r="M269" s="208"/>
      <c r="N269" s="208"/>
      <c r="O269" s="208"/>
      <c r="P269" s="209"/>
      <c r="Q269" s="209"/>
      <c r="R269" s="18"/>
      <c r="S269" s="209"/>
      <c r="T269" s="209"/>
      <c r="V269" s="221"/>
      <c r="X269" s="221"/>
    </row>
    <row r="270" spans="4:24" x14ac:dyDescent="0.2">
      <c r="D270" s="210"/>
      <c r="E270" s="210"/>
      <c r="F270" s="210"/>
      <c r="G270" s="210"/>
      <c r="H270" s="210"/>
      <c r="I270" s="210"/>
      <c r="J270" s="210"/>
      <c r="K270" s="210"/>
      <c r="L270" s="210"/>
      <c r="M270" s="210"/>
      <c r="N270" s="210"/>
      <c r="O270" s="210"/>
      <c r="P270" s="210"/>
      <c r="Q270" s="209"/>
    </row>
    <row r="271" spans="4:24" x14ac:dyDescent="0.2">
      <c r="D271" s="208"/>
      <c r="E271" s="208"/>
      <c r="F271" s="208"/>
      <c r="G271" s="208"/>
      <c r="H271" s="208"/>
      <c r="I271" s="208"/>
      <c r="J271" s="208"/>
      <c r="K271" s="208"/>
      <c r="L271" s="208"/>
      <c r="M271" s="208"/>
      <c r="N271" s="208"/>
      <c r="O271" s="208"/>
      <c r="P271" s="208"/>
      <c r="Q271" s="209"/>
      <c r="R271" s="209"/>
    </row>
    <row r="272" spans="4:24" x14ac:dyDescent="0.2">
      <c r="D272" s="208"/>
      <c r="E272" s="208"/>
      <c r="F272" s="208"/>
      <c r="G272" s="208"/>
      <c r="H272" s="208"/>
      <c r="I272" s="208"/>
      <c r="J272" s="208"/>
      <c r="K272" s="208"/>
      <c r="L272" s="208"/>
      <c r="M272" s="208"/>
      <c r="N272" s="208"/>
      <c r="O272" s="208"/>
      <c r="P272" s="208"/>
      <c r="Q272" s="209"/>
    </row>
    <row r="273" spans="1:24" x14ac:dyDescent="0.2">
      <c r="A273" s="8"/>
      <c r="B273" s="10"/>
      <c r="C273" s="10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209"/>
      <c r="Q273" s="18"/>
      <c r="R273" s="18"/>
      <c r="V273" s="221"/>
      <c r="X273" s="221"/>
    </row>
    <row r="274" spans="1:24" x14ac:dyDescent="0.2">
      <c r="D274" s="208"/>
      <c r="E274" s="208"/>
      <c r="F274" s="208"/>
      <c r="G274" s="208"/>
      <c r="H274" s="208"/>
      <c r="I274" s="208"/>
      <c r="J274" s="208"/>
      <c r="K274" s="208"/>
      <c r="L274" s="208"/>
      <c r="M274" s="208"/>
      <c r="N274" s="208"/>
      <c r="O274" s="208"/>
      <c r="P274" s="208"/>
      <c r="R274" s="18"/>
      <c r="V274" s="221"/>
      <c r="X274" s="221"/>
    </row>
    <row r="275" spans="1:24" x14ac:dyDescent="0.2">
      <c r="D275" s="210"/>
      <c r="E275" s="210"/>
      <c r="F275" s="210"/>
      <c r="G275" s="210"/>
      <c r="H275" s="210"/>
      <c r="I275" s="210"/>
      <c r="J275" s="210"/>
      <c r="K275" s="210"/>
      <c r="L275" s="210"/>
      <c r="M275" s="210"/>
      <c r="N275" s="210"/>
      <c r="O275" s="210"/>
      <c r="P275" s="208"/>
      <c r="R275" s="209"/>
      <c r="V275" s="221"/>
      <c r="X275" s="221"/>
    </row>
    <row r="276" spans="1:24" x14ac:dyDescent="0.2">
      <c r="D276" s="208"/>
      <c r="E276" s="208"/>
      <c r="F276" s="208"/>
      <c r="G276" s="208"/>
      <c r="H276" s="208"/>
      <c r="I276" s="208"/>
      <c r="J276" s="208"/>
      <c r="K276" s="208"/>
      <c r="L276" s="208"/>
      <c r="M276" s="208"/>
      <c r="N276" s="208"/>
      <c r="O276" s="208"/>
      <c r="P276" s="209"/>
      <c r="Q276" s="209"/>
      <c r="R276" s="209"/>
      <c r="V276" s="221"/>
      <c r="X276" s="221"/>
    </row>
    <row r="277" spans="1:24" x14ac:dyDescent="0.2">
      <c r="D277" s="210"/>
      <c r="E277" s="210"/>
      <c r="F277" s="210"/>
      <c r="G277" s="210"/>
      <c r="H277" s="210"/>
      <c r="I277" s="210"/>
      <c r="J277" s="210"/>
      <c r="K277" s="210"/>
      <c r="L277" s="210"/>
      <c r="M277" s="210"/>
      <c r="N277" s="210"/>
      <c r="O277" s="210"/>
      <c r="P277" s="210"/>
      <c r="Q277" s="18"/>
      <c r="R277" s="18"/>
      <c r="V277" s="221"/>
      <c r="X277" s="221"/>
    </row>
    <row r="278" spans="1:24" x14ac:dyDescent="0.2">
      <c r="D278" s="208"/>
      <c r="E278" s="208"/>
      <c r="F278" s="208"/>
      <c r="G278" s="208"/>
      <c r="H278" s="208"/>
      <c r="I278" s="208"/>
      <c r="J278" s="208"/>
      <c r="K278" s="208"/>
      <c r="L278" s="208"/>
      <c r="M278" s="208"/>
      <c r="N278" s="208"/>
      <c r="O278" s="208"/>
      <c r="P278" s="209"/>
      <c r="Q278" s="209"/>
      <c r="R278" s="18"/>
      <c r="S278" s="209"/>
      <c r="T278" s="209"/>
      <c r="V278" s="221"/>
      <c r="X278" s="221"/>
    </row>
    <row r="279" spans="1:24" x14ac:dyDescent="0.2">
      <c r="D279" s="210"/>
      <c r="E279" s="210"/>
      <c r="F279" s="210"/>
      <c r="G279" s="210"/>
      <c r="H279" s="210"/>
      <c r="I279" s="210"/>
      <c r="J279" s="210"/>
      <c r="K279" s="210"/>
      <c r="L279" s="210"/>
      <c r="M279" s="210"/>
      <c r="N279" s="210"/>
      <c r="O279" s="210"/>
      <c r="P279" s="210"/>
      <c r="Q279" s="209"/>
    </row>
    <row r="280" spans="1:24" x14ac:dyDescent="0.2">
      <c r="D280" s="208"/>
      <c r="E280" s="208"/>
      <c r="F280" s="208"/>
      <c r="G280" s="208"/>
      <c r="H280" s="208"/>
      <c r="I280" s="208"/>
      <c r="J280" s="208"/>
      <c r="K280" s="208"/>
      <c r="L280" s="208"/>
      <c r="M280" s="208"/>
      <c r="N280" s="208"/>
      <c r="O280" s="208"/>
      <c r="P280" s="208"/>
      <c r="Q280" s="209"/>
      <c r="R280" s="209"/>
    </row>
    <row r="281" spans="1:24" x14ac:dyDescent="0.2">
      <c r="D281" s="208"/>
      <c r="E281" s="208"/>
      <c r="F281" s="208"/>
      <c r="G281" s="208"/>
      <c r="H281" s="208"/>
      <c r="I281" s="208"/>
      <c r="J281" s="208"/>
      <c r="K281" s="208"/>
      <c r="L281" s="208"/>
      <c r="M281" s="208"/>
      <c r="N281" s="208"/>
      <c r="O281" s="208"/>
      <c r="P281" s="208"/>
      <c r="Q281" s="209"/>
      <c r="R281" s="209"/>
    </row>
    <row r="282" spans="1:24" x14ac:dyDescent="0.2">
      <c r="A282" s="8"/>
      <c r="B282" s="10"/>
      <c r="C282" s="10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209"/>
      <c r="Q282" s="18"/>
      <c r="R282" s="18"/>
      <c r="V282" s="221"/>
      <c r="X282" s="221"/>
    </row>
    <row r="283" spans="1:24" x14ac:dyDescent="0.2">
      <c r="D283" s="208"/>
      <c r="E283" s="208"/>
      <c r="F283" s="208"/>
      <c r="G283" s="208"/>
      <c r="H283" s="208"/>
      <c r="I283" s="208"/>
      <c r="J283" s="208"/>
      <c r="K283" s="208"/>
      <c r="L283" s="208"/>
      <c r="M283" s="208"/>
      <c r="N283" s="208"/>
      <c r="O283" s="208"/>
      <c r="P283" s="208"/>
      <c r="R283" s="18"/>
      <c r="V283" s="221"/>
      <c r="X283" s="221"/>
    </row>
    <row r="284" spans="1:24" x14ac:dyDescent="0.2">
      <c r="D284" s="210"/>
      <c r="E284" s="210"/>
      <c r="F284" s="210"/>
      <c r="G284" s="210"/>
      <c r="H284" s="210"/>
      <c r="I284" s="210"/>
      <c r="J284" s="210"/>
      <c r="K284" s="210"/>
      <c r="L284" s="210"/>
      <c r="M284" s="210"/>
      <c r="N284" s="210"/>
      <c r="O284" s="210"/>
      <c r="P284" s="210"/>
      <c r="R284" s="209"/>
      <c r="V284" s="221"/>
      <c r="X284" s="221"/>
    </row>
    <row r="285" spans="1:24" x14ac:dyDescent="0.2">
      <c r="D285" s="208"/>
      <c r="E285" s="208"/>
      <c r="F285" s="208"/>
      <c r="G285" s="208"/>
      <c r="H285" s="208"/>
      <c r="I285" s="208"/>
      <c r="J285" s="208"/>
      <c r="K285" s="208"/>
      <c r="L285" s="208"/>
      <c r="M285" s="208"/>
      <c r="N285" s="208"/>
      <c r="O285" s="208"/>
      <c r="P285" s="209"/>
      <c r="Q285" s="209"/>
      <c r="R285" s="209"/>
      <c r="V285" s="221"/>
      <c r="X285" s="221"/>
    </row>
    <row r="286" spans="1:24" x14ac:dyDescent="0.2">
      <c r="D286" s="210"/>
      <c r="E286" s="210"/>
      <c r="F286" s="210"/>
      <c r="G286" s="210"/>
      <c r="H286" s="210"/>
      <c r="I286" s="210"/>
      <c r="J286" s="210"/>
      <c r="K286" s="210"/>
      <c r="L286" s="210"/>
      <c r="M286" s="210"/>
      <c r="N286" s="210"/>
      <c r="O286" s="210"/>
      <c r="P286" s="210"/>
      <c r="Q286" s="18"/>
      <c r="R286" s="18"/>
      <c r="V286" s="221"/>
      <c r="X286" s="221"/>
    </row>
    <row r="287" spans="1:24" x14ac:dyDescent="0.2">
      <c r="D287" s="208"/>
      <c r="E287" s="208"/>
      <c r="F287" s="208"/>
      <c r="G287" s="208"/>
      <c r="H287" s="208"/>
      <c r="I287" s="208"/>
      <c r="J287" s="208"/>
      <c r="K287" s="208"/>
      <c r="L287" s="208"/>
      <c r="M287" s="208"/>
      <c r="N287" s="208"/>
      <c r="O287" s="208"/>
      <c r="P287" s="209"/>
      <c r="Q287" s="209"/>
      <c r="R287" s="18"/>
      <c r="S287" s="209"/>
      <c r="T287" s="209"/>
      <c r="V287" s="221"/>
      <c r="X287" s="221"/>
    </row>
    <row r="288" spans="1:24" x14ac:dyDescent="0.2">
      <c r="D288" s="210"/>
      <c r="E288" s="210"/>
      <c r="F288" s="210"/>
      <c r="G288" s="210"/>
      <c r="H288" s="210"/>
      <c r="I288" s="210"/>
      <c r="J288" s="210"/>
      <c r="K288" s="210"/>
      <c r="L288" s="210"/>
      <c r="M288" s="210"/>
      <c r="N288" s="210"/>
      <c r="O288" s="210"/>
      <c r="P288" s="210"/>
      <c r="Q288" s="209"/>
    </row>
    <row r="289" spans="1:24" x14ac:dyDescent="0.2">
      <c r="D289" s="208"/>
      <c r="E289" s="208"/>
      <c r="F289" s="208"/>
      <c r="G289" s="208"/>
      <c r="H289" s="208"/>
      <c r="I289" s="208"/>
      <c r="J289" s="208"/>
      <c r="K289" s="208"/>
      <c r="L289" s="208"/>
      <c r="M289" s="208"/>
      <c r="N289" s="208"/>
      <c r="O289" s="208"/>
      <c r="P289" s="208"/>
      <c r="Q289" s="209"/>
      <c r="R289" s="209"/>
    </row>
    <row r="290" spans="1:24" x14ac:dyDescent="0.2">
      <c r="D290" s="208"/>
      <c r="E290" s="208"/>
      <c r="F290" s="208"/>
      <c r="G290" s="208"/>
      <c r="H290" s="208"/>
      <c r="I290" s="208"/>
      <c r="J290" s="208"/>
      <c r="K290" s="208"/>
      <c r="L290" s="208"/>
      <c r="M290" s="208"/>
      <c r="N290" s="208"/>
      <c r="O290" s="208"/>
      <c r="P290" s="208"/>
      <c r="Q290" s="209"/>
    </row>
    <row r="291" spans="1:24" x14ac:dyDescent="0.2">
      <c r="A291" s="8"/>
      <c r="B291" s="10"/>
      <c r="C291" s="10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209"/>
      <c r="Q291" s="18"/>
      <c r="R291" s="18"/>
      <c r="V291" s="221"/>
      <c r="X291" s="221"/>
    </row>
    <row r="292" spans="1:24" x14ac:dyDescent="0.2">
      <c r="D292" s="208"/>
      <c r="E292" s="208"/>
      <c r="F292" s="208"/>
      <c r="G292" s="208"/>
      <c r="H292" s="208"/>
      <c r="I292" s="208"/>
      <c r="J292" s="208"/>
      <c r="K292" s="208"/>
      <c r="L292" s="208"/>
      <c r="M292" s="208"/>
      <c r="N292" s="208"/>
      <c r="O292" s="208"/>
      <c r="P292" s="208"/>
      <c r="R292" s="18"/>
      <c r="V292" s="221"/>
      <c r="X292" s="221"/>
    </row>
    <row r="293" spans="1:24" x14ac:dyDescent="0.2">
      <c r="D293" s="210"/>
      <c r="E293" s="210"/>
      <c r="F293" s="210"/>
      <c r="G293" s="210"/>
      <c r="H293" s="210"/>
      <c r="I293" s="210"/>
      <c r="J293" s="210"/>
      <c r="K293" s="210"/>
      <c r="L293" s="210"/>
      <c r="M293" s="210"/>
      <c r="N293" s="210"/>
      <c r="O293" s="210"/>
      <c r="P293" s="210"/>
      <c r="R293" s="209"/>
      <c r="V293" s="221"/>
      <c r="X293" s="221"/>
    </row>
    <row r="294" spans="1:24" x14ac:dyDescent="0.2">
      <c r="D294" s="208"/>
      <c r="E294" s="208"/>
      <c r="F294" s="208"/>
      <c r="G294" s="208"/>
      <c r="H294" s="208"/>
      <c r="I294" s="208"/>
      <c r="J294" s="208"/>
      <c r="K294" s="208"/>
      <c r="L294" s="208"/>
      <c r="M294" s="208"/>
      <c r="N294" s="208"/>
      <c r="O294" s="208"/>
      <c r="P294" s="209"/>
      <c r="Q294" s="209"/>
      <c r="R294" s="209"/>
      <c r="V294" s="221"/>
      <c r="X294" s="221"/>
    </row>
    <row r="295" spans="1:24" x14ac:dyDescent="0.2">
      <c r="D295" s="210"/>
      <c r="E295" s="210"/>
      <c r="F295" s="210"/>
      <c r="G295" s="210"/>
      <c r="H295" s="210"/>
      <c r="I295" s="210"/>
      <c r="J295" s="210"/>
      <c r="K295" s="210"/>
      <c r="L295" s="210"/>
      <c r="M295" s="210"/>
      <c r="N295" s="210"/>
      <c r="O295" s="210"/>
      <c r="P295" s="210"/>
      <c r="Q295" s="18"/>
      <c r="R295" s="18"/>
      <c r="V295" s="221"/>
      <c r="X295" s="221"/>
    </row>
    <row r="296" spans="1:24" x14ac:dyDescent="0.2">
      <c r="D296" s="208"/>
      <c r="E296" s="208"/>
      <c r="F296" s="208"/>
      <c r="G296" s="208"/>
      <c r="H296" s="208"/>
      <c r="I296" s="208"/>
      <c r="J296" s="208"/>
      <c r="K296" s="208"/>
      <c r="L296" s="208"/>
      <c r="M296" s="208"/>
      <c r="N296" s="208"/>
      <c r="O296" s="208"/>
      <c r="P296" s="209"/>
      <c r="Q296" s="209"/>
      <c r="R296" s="18"/>
      <c r="S296" s="209"/>
      <c r="T296" s="209"/>
      <c r="V296" s="221"/>
      <c r="X296" s="221"/>
    </row>
    <row r="297" spans="1:24" x14ac:dyDescent="0.2">
      <c r="D297" s="210"/>
      <c r="E297" s="210"/>
      <c r="F297" s="210"/>
      <c r="G297" s="210"/>
      <c r="H297" s="210"/>
      <c r="I297" s="210"/>
      <c r="J297" s="210"/>
      <c r="K297" s="210"/>
      <c r="L297" s="210"/>
      <c r="M297" s="210"/>
      <c r="N297" s="210"/>
      <c r="O297" s="210"/>
      <c r="P297" s="210"/>
      <c r="Q297" s="209"/>
    </row>
    <row r="298" spans="1:24" x14ac:dyDescent="0.2">
      <c r="D298" s="208"/>
      <c r="E298" s="208"/>
      <c r="F298" s="208"/>
      <c r="G298" s="208"/>
      <c r="H298" s="208"/>
      <c r="I298" s="208"/>
      <c r="J298" s="208"/>
      <c r="K298" s="208"/>
      <c r="L298" s="208"/>
      <c r="M298" s="208"/>
      <c r="N298" s="208"/>
      <c r="O298" s="208"/>
      <c r="P298" s="208"/>
      <c r="Q298" s="209"/>
      <c r="R298" s="209"/>
    </row>
    <row r="299" spans="1:24" x14ac:dyDescent="0.2">
      <c r="D299" s="208"/>
      <c r="E299" s="208"/>
      <c r="F299" s="208"/>
      <c r="G299" s="208"/>
      <c r="H299" s="208"/>
      <c r="I299" s="208"/>
      <c r="J299" s="208"/>
      <c r="K299" s="208"/>
      <c r="L299" s="208"/>
      <c r="M299" s="11"/>
      <c r="N299" s="11"/>
      <c r="O299" s="11"/>
      <c r="P299" s="208"/>
      <c r="Q299" s="209"/>
    </row>
    <row r="300" spans="1:24" x14ac:dyDescent="0.2">
      <c r="D300" s="208"/>
      <c r="E300" s="208"/>
      <c r="F300" s="208"/>
      <c r="G300" s="208"/>
      <c r="H300" s="208"/>
      <c r="I300" s="208"/>
      <c r="J300" s="208"/>
      <c r="K300" s="208"/>
      <c r="L300" s="208"/>
      <c r="M300" s="208"/>
      <c r="N300" s="208"/>
      <c r="O300" s="208"/>
      <c r="P300" s="208"/>
      <c r="Q300" s="209"/>
    </row>
    <row r="301" spans="1:24" x14ac:dyDescent="0.2">
      <c r="D301" s="208"/>
      <c r="E301" s="208"/>
      <c r="F301" s="208"/>
      <c r="G301" s="208"/>
      <c r="H301" s="208"/>
      <c r="I301" s="208"/>
      <c r="J301" s="208"/>
      <c r="K301" s="208"/>
      <c r="L301" s="208"/>
      <c r="M301" s="208"/>
      <c r="N301" s="208"/>
      <c r="O301" s="208"/>
      <c r="P301" s="208"/>
      <c r="Q301" s="209"/>
    </row>
    <row r="302" spans="1:24" x14ac:dyDescent="0.2">
      <c r="D302" s="208"/>
      <c r="E302" s="208"/>
      <c r="F302" s="208"/>
      <c r="G302" s="208"/>
      <c r="H302" s="208"/>
      <c r="I302" s="208"/>
      <c r="J302" s="208"/>
      <c r="K302" s="208"/>
      <c r="L302" s="208"/>
      <c r="M302" s="208"/>
      <c r="N302" s="208"/>
      <c r="O302" s="208"/>
      <c r="P302" s="208"/>
      <c r="Q302" s="209"/>
    </row>
    <row r="303" spans="1:24" x14ac:dyDescent="0.2"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208"/>
      <c r="Q303" s="11"/>
      <c r="R303" s="11"/>
    </row>
    <row r="304" spans="1:24" x14ac:dyDescent="0.2"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</row>
    <row r="305" spans="4:24" x14ac:dyDescent="0.2"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</row>
    <row r="306" spans="4:24" x14ac:dyDescent="0.2"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</row>
    <row r="307" spans="4:24" x14ac:dyDescent="0.2"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220"/>
      <c r="R307" s="209"/>
    </row>
    <row r="308" spans="4:24" x14ac:dyDescent="0.2"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R308" s="209"/>
    </row>
    <row r="309" spans="4:24" x14ac:dyDescent="0.2"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209"/>
    </row>
    <row r="310" spans="4:24" x14ac:dyDescent="0.2"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209"/>
    </row>
    <row r="311" spans="4:24" x14ac:dyDescent="0.2"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8"/>
      <c r="R311" s="18"/>
      <c r="V311" s="221"/>
      <c r="X311" s="221"/>
    </row>
    <row r="312" spans="4:24" ht="17.25" x14ac:dyDescent="0.35"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388"/>
      <c r="P312" s="11"/>
      <c r="Q312" s="11"/>
      <c r="R312" s="11"/>
    </row>
  </sheetData>
  <phoneticPr fontId="0" type="noConversion"/>
  <pageMargins left="0.75" right="0.75" top="1" bottom="1" header="0.5" footer="0.5"/>
  <pageSetup scale="40" orientation="landscape" horizontalDpi="4294967293" verticalDpi="200" r:id="rId1"/>
  <headerFooter alignWithMargins="0"/>
  <rowBreaks count="1" manualBreakCount="1">
    <brk id="110" max="14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T107"/>
  <sheetViews>
    <sheetView zoomScale="75" zoomScaleNormal="75" workbookViewId="0"/>
  </sheetViews>
  <sheetFormatPr defaultRowHeight="15" x14ac:dyDescent="0.25"/>
  <cols>
    <col min="1" max="1" width="48.42578125" bestFit="1" customWidth="1"/>
    <col min="2" max="2" width="2.7109375" customWidth="1"/>
    <col min="3" max="3" width="19.5703125" customWidth="1"/>
    <col min="4" max="4" width="15.7109375" style="42" bestFit="1" customWidth="1"/>
    <col min="5" max="5" width="12.28515625" bestFit="1" customWidth="1"/>
    <col min="6" max="6" width="15.5703125" style="172" bestFit="1" customWidth="1"/>
    <col min="7" max="7" width="12" customWidth="1"/>
    <col min="8" max="9" width="16" bestFit="1" customWidth="1"/>
    <col min="10" max="11" width="16" customWidth="1"/>
    <col min="12" max="12" width="12.7109375" customWidth="1"/>
    <col min="13" max="13" width="20.28515625" customWidth="1"/>
    <col min="14" max="14" width="11.85546875" customWidth="1"/>
    <col min="15" max="15" width="15.5703125" customWidth="1"/>
    <col min="16" max="16" width="13" customWidth="1"/>
    <col min="17" max="17" width="2.7109375" customWidth="1"/>
    <col min="18" max="18" width="12.5703125" customWidth="1"/>
    <col min="19" max="19" width="13.7109375" customWidth="1"/>
  </cols>
  <sheetData>
    <row r="1" spans="1:20" ht="18.75" x14ac:dyDescent="0.3">
      <c r="A1" s="5" t="s">
        <v>1775</v>
      </c>
    </row>
    <row r="2" spans="1:20" ht="15.75" x14ac:dyDescent="0.25">
      <c r="A2" s="21" t="s">
        <v>1168</v>
      </c>
    </row>
    <row r="3" spans="1:20" ht="15.75" x14ac:dyDescent="0.25">
      <c r="A3" s="21" t="s">
        <v>2701</v>
      </c>
    </row>
    <row r="4" spans="1:20" ht="15.75" x14ac:dyDescent="0.25">
      <c r="A4" s="34"/>
    </row>
    <row r="5" spans="1:20" x14ac:dyDescent="0.25">
      <c r="D5" s="43"/>
    </row>
    <row r="6" spans="1:20" x14ac:dyDescent="0.25">
      <c r="C6" s="64" t="s">
        <v>2697</v>
      </c>
      <c r="D6" s="64" t="s">
        <v>829</v>
      </c>
      <c r="E6" s="64"/>
      <c r="F6" s="63" t="s">
        <v>82</v>
      </c>
      <c r="G6" s="171"/>
    </row>
    <row r="7" spans="1:20" x14ac:dyDescent="0.25">
      <c r="C7" s="48" t="s">
        <v>2698</v>
      </c>
      <c r="D7" s="48" t="s">
        <v>1063</v>
      </c>
      <c r="E7" s="48" t="s">
        <v>2699</v>
      </c>
      <c r="F7" s="63" t="s">
        <v>2697</v>
      </c>
      <c r="G7" s="63" t="s">
        <v>118</v>
      </c>
      <c r="H7" s="164"/>
      <c r="I7" s="164"/>
      <c r="J7" s="164"/>
      <c r="K7" s="44"/>
      <c r="L7" s="20"/>
      <c r="M7" s="173"/>
      <c r="N7" s="174"/>
      <c r="O7" s="174"/>
      <c r="P7" s="174"/>
      <c r="Q7" s="174"/>
      <c r="R7" s="174"/>
      <c r="S7" s="174"/>
      <c r="T7" s="47"/>
    </row>
    <row r="8" spans="1:20" ht="15.75" thickBot="1" x14ac:dyDescent="0.3">
      <c r="A8" s="12" t="s">
        <v>1777</v>
      </c>
      <c r="B8" s="12"/>
      <c r="C8" s="49" t="s">
        <v>626</v>
      </c>
      <c r="D8" s="49" t="s">
        <v>625</v>
      </c>
      <c r="E8" s="49" t="s">
        <v>625</v>
      </c>
      <c r="F8" s="75" t="s">
        <v>626</v>
      </c>
      <c r="G8" s="75" t="s">
        <v>2700</v>
      </c>
      <c r="H8" s="164"/>
      <c r="I8" s="164"/>
      <c r="J8" s="164"/>
      <c r="K8" s="44"/>
      <c r="L8" s="20"/>
      <c r="M8" s="174"/>
      <c r="N8" s="174"/>
      <c r="O8" s="517"/>
      <c r="P8" s="517"/>
      <c r="Q8" s="174"/>
      <c r="R8" s="175"/>
      <c r="S8" s="174"/>
      <c r="T8" s="47"/>
    </row>
    <row r="9" spans="1:20" x14ac:dyDescent="0.25">
      <c r="H9" s="20"/>
      <c r="I9" s="20"/>
      <c r="J9" s="20"/>
      <c r="K9" s="20"/>
      <c r="L9" s="20"/>
      <c r="M9" s="174"/>
      <c r="N9" s="174"/>
      <c r="O9" s="54"/>
      <c r="P9" s="54"/>
      <c r="Q9" s="173"/>
      <c r="R9" s="54"/>
      <c r="S9" s="173"/>
      <c r="T9" s="47"/>
    </row>
    <row r="10" spans="1:20" x14ac:dyDescent="0.25">
      <c r="A10" s="7" t="s">
        <v>1906</v>
      </c>
      <c r="C10" s="188">
        <v>61.557381120000002</v>
      </c>
      <c r="D10" s="189">
        <f>'Billing Det'!C8</f>
        <v>420348</v>
      </c>
      <c r="E10" s="189">
        <f>'Billing Det'!B8</f>
        <v>419902</v>
      </c>
      <c r="F10" s="188">
        <f>C10*E10</f>
        <v>25848067.44705024</v>
      </c>
      <c r="G10" s="56">
        <f>F10/$F$36</f>
        <v>0.62751633271645912</v>
      </c>
      <c r="H10" s="20"/>
      <c r="I10" s="20"/>
      <c r="J10" s="20"/>
      <c r="K10" s="166"/>
      <c r="L10" s="184"/>
      <c r="M10" s="174"/>
      <c r="N10" s="174"/>
      <c r="O10" s="54"/>
      <c r="P10" s="54"/>
      <c r="Q10" s="173"/>
      <c r="R10" s="176"/>
      <c r="S10" s="54"/>
      <c r="T10" s="47"/>
    </row>
    <row r="11" spans="1:20" x14ac:dyDescent="0.25">
      <c r="C11" s="188"/>
      <c r="D11" s="189"/>
      <c r="E11" s="189"/>
      <c r="F11" s="188"/>
      <c r="G11" s="189"/>
      <c r="H11" s="20"/>
      <c r="I11" s="20"/>
      <c r="J11" s="20"/>
      <c r="K11" s="20"/>
      <c r="L11" s="20"/>
      <c r="M11" s="177"/>
      <c r="N11" s="174"/>
      <c r="O11" s="76"/>
      <c r="P11" s="178"/>
      <c r="Q11" s="174"/>
      <c r="R11" s="179"/>
      <c r="S11" s="180"/>
      <c r="T11" s="47"/>
    </row>
    <row r="12" spans="1:20" x14ac:dyDescent="0.25">
      <c r="A12" s="7" t="s">
        <v>1566</v>
      </c>
      <c r="C12" s="188">
        <v>114.82652342643978</v>
      </c>
      <c r="D12" s="189">
        <f>'Billing Det'!C10</f>
        <v>82102</v>
      </c>
      <c r="E12" s="189">
        <f>'Billing Det'!B10</f>
        <v>82069</v>
      </c>
      <c r="F12" s="188">
        <f>C12*E12</f>
        <v>9423697.9510844853</v>
      </c>
      <c r="G12" s="56">
        <f>F12/$F$36</f>
        <v>0.22878013572991479</v>
      </c>
      <c r="H12" s="20"/>
      <c r="I12" s="20"/>
      <c r="J12" s="20"/>
      <c r="K12" s="166"/>
      <c r="L12" s="184"/>
      <c r="M12" s="177"/>
      <c r="N12" s="174"/>
      <c r="O12" s="76"/>
      <c r="P12" s="178"/>
      <c r="Q12" s="174"/>
      <c r="R12" s="179"/>
      <c r="S12" s="180"/>
      <c r="T12" s="47"/>
    </row>
    <row r="13" spans="1:20" x14ac:dyDescent="0.25">
      <c r="C13" s="188"/>
      <c r="D13" s="189"/>
      <c r="E13" s="189"/>
      <c r="F13" s="188"/>
      <c r="G13" s="189"/>
      <c r="H13" s="20"/>
      <c r="I13" s="20"/>
      <c r="J13" s="20"/>
      <c r="K13" s="20"/>
      <c r="L13" s="20"/>
      <c r="M13" s="177"/>
      <c r="N13" s="174"/>
      <c r="O13" s="76"/>
      <c r="P13" s="178"/>
      <c r="Q13" s="174"/>
      <c r="R13" s="179"/>
      <c r="S13" s="180"/>
      <c r="T13" s="47"/>
    </row>
    <row r="14" spans="1:20" x14ac:dyDescent="0.25">
      <c r="A14" s="7" t="s">
        <v>263</v>
      </c>
      <c r="C14" s="188">
        <v>342.50399839182222</v>
      </c>
      <c r="D14" s="189">
        <f>'Billing Det'!C12</f>
        <v>640</v>
      </c>
      <c r="E14" s="189">
        <f>'Billing Det'!B12</f>
        <v>643</v>
      </c>
      <c r="F14" s="188">
        <f>C14*E14</f>
        <v>220230.07096594168</v>
      </c>
      <c r="G14" s="56">
        <f>F14/$F$36</f>
        <v>5.346549283405104E-3</v>
      </c>
      <c r="H14" s="20"/>
      <c r="I14" s="20"/>
      <c r="J14" s="20"/>
      <c r="K14" s="166"/>
      <c r="L14" s="184"/>
      <c r="M14" s="177"/>
      <c r="N14" s="174"/>
      <c r="O14" s="76"/>
      <c r="P14" s="178"/>
      <c r="Q14" s="174"/>
      <c r="R14" s="179"/>
      <c r="S14" s="180"/>
      <c r="T14" s="47"/>
    </row>
    <row r="15" spans="1:20" x14ac:dyDescent="0.25">
      <c r="C15" s="172"/>
      <c r="D15" s="189"/>
      <c r="E15" s="189"/>
      <c r="F15" s="188"/>
      <c r="G15" s="189"/>
      <c r="H15" s="20"/>
      <c r="I15" s="20"/>
      <c r="J15" s="20"/>
      <c r="K15" s="20"/>
      <c r="L15" s="20"/>
      <c r="M15" s="177"/>
      <c r="N15" s="174"/>
      <c r="O15" s="76"/>
      <c r="P15" s="178"/>
      <c r="Q15" s="174"/>
      <c r="R15" s="179"/>
      <c r="S15" s="180"/>
      <c r="T15" s="47"/>
    </row>
    <row r="16" spans="1:20" x14ac:dyDescent="0.25">
      <c r="A16" s="7" t="s">
        <v>2694</v>
      </c>
      <c r="C16" s="188">
        <v>491.42139200889983</v>
      </c>
      <c r="D16" s="189">
        <f>'Billing Det'!C14</f>
        <v>5633</v>
      </c>
      <c r="E16" s="189">
        <f>'Billing Det'!B14</f>
        <v>5627</v>
      </c>
      <c r="F16" s="188">
        <f>C16*E16</f>
        <v>2765228.1728340792</v>
      </c>
      <c r="G16" s="56">
        <f>F16/$F$36</f>
        <v>6.713174382168749E-2</v>
      </c>
      <c r="H16" s="20"/>
      <c r="I16" s="20"/>
      <c r="J16" s="20"/>
      <c r="K16" s="166"/>
      <c r="L16" s="184"/>
      <c r="M16" s="177"/>
      <c r="N16" s="174"/>
      <c r="O16" s="76"/>
      <c r="P16" s="178"/>
      <c r="Q16" s="174"/>
      <c r="R16" s="179"/>
      <c r="S16" s="180"/>
      <c r="T16" s="47"/>
    </row>
    <row r="17" spans="1:20" x14ac:dyDescent="0.25">
      <c r="C17" s="190"/>
      <c r="D17" s="189"/>
      <c r="E17" s="189"/>
      <c r="F17" s="190"/>
      <c r="G17" s="189"/>
      <c r="H17" s="20"/>
      <c r="I17" s="185"/>
      <c r="J17" s="185"/>
      <c r="K17" s="185"/>
      <c r="L17" s="20"/>
      <c r="M17" s="177"/>
      <c r="N17" s="174"/>
      <c r="O17" s="76"/>
      <c r="P17" s="178"/>
      <c r="Q17" s="174"/>
      <c r="R17" s="179"/>
      <c r="S17" s="180"/>
      <c r="T17" s="47"/>
    </row>
    <row r="18" spans="1:20" x14ac:dyDescent="0.25">
      <c r="A18" s="3" t="s">
        <v>2695</v>
      </c>
      <c r="C18" s="188">
        <v>3405.7196888426979</v>
      </c>
      <c r="D18" s="189">
        <f>'Billing Det'!C16</f>
        <v>297</v>
      </c>
      <c r="E18" s="189">
        <f>'Billing Det'!B16</f>
        <v>298</v>
      </c>
      <c r="F18" s="188">
        <f>C18*E18</f>
        <v>1014904.4672751239</v>
      </c>
      <c r="G18" s="56">
        <f>F18/$F$36</f>
        <v>2.4638945664571001E-2</v>
      </c>
      <c r="H18" s="186"/>
      <c r="I18" s="20"/>
      <c r="J18" s="20"/>
      <c r="K18" s="166"/>
      <c r="L18" s="184"/>
      <c r="M18" s="173"/>
      <c r="N18" s="174"/>
      <c r="O18" s="76"/>
      <c r="P18" s="178"/>
      <c r="Q18" s="174"/>
      <c r="R18" s="179"/>
      <c r="S18" s="180"/>
      <c r="T18" s="47"/>
    </row>
    <row r="19" spans="1:20" x14ac:dyDescent="0.25">
      <c r="C19" s="172"/>
      <c r="D19" s="189"/>
      <c r="E19" s="189"/>
      <c r="G19" s="189"/>
      <c r="H19" s="20"/>
      <c r="I19" s="20"/>
      <c r="J19" s="20"/>
      <c r="K19" s="20"/>
      <c r="L19" s="20"/>
      <c r="M19" s="173"/>
      <c r="N19" s="174"/>
      <c r="O19" s="76"/>
      <c r="P19" s="178"/>
      <c r="Q19" s="174"/>
      <c r="R19" s="179"/>
      <c r="S19" s="180"/>
      <c r="T19" s="47"/>
    </row>
    <row r="20" spans="1:20" x14ac:dyDescent="0.25">
      <c r="A20" s="7" t="s">
        <v>2696</v>
      </c>
      <c r="C20" s="188">
        <v>758.94016960630756</v>
      </c>
      <c r="D20" s="189">
        <f>'Billing Det'!C18</f>
        <v>137</v>
      </c>
      <c r="E20" s="189">
        <f>'Billing Det'!B18</f>
        <v>137</v>
      </c>
      <c r="F20" s="188">
        <f>C20*E20</f>
        <v>103974.80323606414</v>
      </c>
      <c r="G20" s="56">
        <f>F20/$F$36</f>
        <v>2.5242075584670531E-3</v>
      </c>
      <c r="H20" s="20"/>
      <c r="I20" s="20"/>
      <c r="J20" s="20"/>
      <c r="K20" s="166"/>
      <c r="L20" s="184"/>
      <c r="M20" s="177"/>
      <c r="N20" s="174"/>
      <c r="O20" s="76"/>
      <c r="P20" s="178"/>
      <c r="Q20" s="174"/>
      <c r="R20" s="179"/>
      <c r="S20" s="180"/>
      <c r="T20" s="47"/>
    </row>
    <row r="21" spans="1:20" x14ac:dyDescent="0.25">
      <c r="C21" s="172"/>
      <c r="D21" s="189"/>
      <c r="E21" s="189"/>
      <c r="F21" s="190"/>
      <c r="G21" s="189"/>
      <c r="H21" s="20"/>
      <c r="I21" s="20"/>
      <c r="J21" s="20"/>
      <c r="K21" s="20"/>
      <c r="L21" s="20"/>
      <c r="M21" s="177"/>
      <c r="N21" s="174"/>
      <c r="O21" s="76"/>
      <c r="P21" s="178"/>
      <c r="Q21" s="174"/>
      <c r="R21" s="179"/>
      <c r="S21" s="180"/>
      <c r="T21" s="47"/>
    </row>
    <row r="22" spans="1:20" x14ac:dyDescent="0.25">
      <c r="A22" s="7" t="s">
        <v>2763</v>
      </c>
      <c r="C22" s="188">
        <v>4397.4595527437214</v>
      </c>
      <c r="D22" s="189">
        <f>'Billing Det'!C20</f>
        <v>166</v>
      </c>
      <c r="E22" s="189">
        <f>'Billing Det'!B20</f>
        <v>167</v>
      </c>
      <c r="F22" s="188">
        <f>C22*E22</f>
        <v>734375.74530820141</v>
      </c>
      <c r="G22" s="56">
        <f>F22/$F$36</f>
        <v>1.7828519500567491E-2</v>
      </c>
      <c r="H22" s="20"/>
      <c r="I22" s="20"/>
      <c r="J22" s="20"/>
      <c r="K22" s="166"/>
      <c r="L22" s="184"/>
      <c r="M22" s="173"/>
      <c r="N22" s="174"/>
      <c r="O22" s="76"/>
      <c r="P22" s="178"/>
      <c r="Q22" s="174"/>
      <c r="R22" s="179"/>
      <c r="S22" s="180"/>
      <c r="T22" s="47"/>
    </row>
    <row r="23" spans="1:20" x14ac:dyDescent="0.25">
      <c r="C23" s="190"/>
      <c r="D23" s="189"/>
      <c r="E23" s="189"/>
      <c r="F23" s="190"/>
      <c r="G23" s="189"/>
      <c r="H23" s="20"/>
      <c r="I23" s="20"/>
      <c r="J23" s="20"/>
      <c r="K23" s="20"/>
      <c r="L23" s="20"/>
      <c r="M23" s="173"/>
      <c r="N23" s="174"/>
      <c r="O23" s="76"/>
      <c r="P23" s="178"/>
      <c r="Q23" s="174"/>
      <c r="R23" s="179"/>
      <c r="S23" s="180"/>
      <c r="T23" s="47"/>
    </row>
    <row r="24" spans="1:20" x14ac:dyDescent="0.25">
      <c r="A24" s="7" t="s">
        <v>2762</v>
      </c>
      <c r="C24" s="188">
        <f>C22</f>
        <v>4397.4595527437214</v>
      </c>
      <c r="D24" s="189">
        <f>'Billing Det'!C24</f>
        <v>0</v>
      </c>
      <c r="E24" s="189">
        <f>'Billing Det'!B24</f>
        <v>0</v>
      </c>
      <c r="F24" s="188">
        <f>C24*E24</f>
        <v>0</v>
      </c>
      <c r="G24" s="56">
        <f>F24/$F$36</f>
        <v>0</v>
      </c>
      <c r="H24" s="20"/>
      <c r="I24" s="20"/>
      <c r="J24" s="20"/>
      <c r="K24" s="166"/>
      <c r="L24" s="184"/>
      <c r="M24" s="177"/>
      <c r="N24" s="174"/>
      <c r="O24" s="76"/>
      <c r="P24" s="178"/>
      <c r="Q24" s="174"/>
      <c r="R24" s="179"/>
      <c r="S24" s="180"/>
      <c r="T24" s="47"/>
    </row>
    <row r="25" spans="1:20" x14ac:dyDescent="0.25">
      <c r="A25" s="7"/>
      <c r="C25" s="172"/>
      <c r="D25" s="189"/>
      <c r="E25" s="189"/>
      <c r="G25" s="189"/>
      <c r="H25" s="20"/>
      <c r="I25" s="20"/>
      <c r="J25" s="20"/>
      <c r="K25" s="20"/>
      <c r="L25" s="20"/>
      <c r="M25" s="177"/>
      <c r="N25" s="174"/>
      <c r="O25" s="76"/>
      <c r="P25" s="178"/>
      <c r="Q25" s="174"/>
      <c r="R25" s="179"/>
      <c r="S25" s="180"/>
      <c r="T25" s="47"/>
    </row>
    <row r="26" spans="1:20" x14ac:dyDescent="0.25">
      <c r="A26" s="7" t="s">
        <v>2286</v>
      </c>
      <c r="C26" s="188">
        <v>28539.749203328</v>
      </c>
      <c r="D26" s="189">
        <f>'Billing Det'!C26</f>
        <v>36</v>
      </c>
      <c r="E26" s="189">
        <f>'Billing Det'!B26</f>
        <v>35</v>
      </c>
      <c r="F26" s="188">
        <f>C26*E26</f>
        <v>998891.22211648</v>
      </c>
      <c r="G26" s="56">
        <f>F26/$F$36</f>
        <v>2.4250190377645729E-2</v>
      </c>
      <c r="H26" s="20"/>
      <c r="I26" s="20"/>
      <c r="J26" s="20"/>
      <c r="K26" s="166"/>
      <c r="L26" s="184"/>
      <c r="M26" s="177"/>
      <c r="N26" s="174"/>
      <c r="O26" s="76"/>
      <c r="P26" s="178"/>
      <c r="Q26" s="174"/>
      <c r="R26" s="179"/>
      <c r="S26" s="180"/>
      <c r="T26" s="47"/>
    </row>
    <row r="27" spans="1:20" x14ac:dyDescent="0.25">
      <c r="A27" s="7"/>
      <c r="C27" s="172"/>
      <c r="D27" s="189"/>
      <c r="E27" s="189"/>
      <c r="G27" s="189"/>
      <c r="H27" s="20"/>
      <c r="I27" s="20"/>
      <c r="J27" s="20"/>
      <c r="K27" s="20"/>
      <c r="L27" s="20"/>
      <c r="M27" s="173"/>
      <c r="N27" s="174"/>
      <c r="O27" s="76"/>
      <c r="P27" s="178"/>
      <c r="Q27" s="174"/>
      <c r="R27" s="179"/>
      <c r="S27" s="180"/>
      <c r="T27" s="47"/>
    </row>
    <row r="28" spans="1:20" x14ac:dyDescent="0.25">
      <c r="A28" s="7" t="s">
        <v>2693</v>
      </c>
      <c r="C28" s="188">
        <v>36698.90166784</v>
      </c>
      <c r="D28" s="189">
        <f>'Billing Det'!C28</f>
        <v>1</v>
      </c>
      <c r="E28" s="189">
        <f>'Billing Det'!B28</f>
        <v>1</v>
      </c>
      <c r="F28" s="188">
        <f>C28*E28</f>
        <v>36698.90166784</v>
      </c>
      <c r="G28" s="56">
        <f>F28/$F$36</f>
        <v>8.9094321022258754E-4</v>
      </c>
      <c r="H28" s="20"/>
      <c r="I28" s="20"/>
      <c r="J28" s="20"/>
      <c r="K28" s="166"/>
      <c r="L28" s="20"/>
      <c r="M28" s="177"/>
      <c r="N28" s="174"/>
      <c r="O28" s="76"/>
      <c r="P28" s="178"/>
      <c r="Q28" s="174"/>
      <c r="R28" s="179"/>
      <c r="S28" s="180"/>
      <c r="T28" s="47"/>
    </row>
    <row r="29" spans="1:20" x14ac:dyDescent="0.25">
      <c r="A29" s="7"/>
      <c r="C29" s="188"/>
      <c r="D29" s="189"/>
      <c r="E29" s="189"/>
      <c r="F29" s="188"/>
      <c r="G29" s="189"/>
      <c r="H29" s="20"/>
      <c r="I29" s="20"/>
      <c r="J29" s="20"/>
      <c r="K29" s="166"/>
      <c r="L29" s="20"/>
      <c r="M29" s="177"/>
      <c r="N29" s="174"/>
      <c r="O29" s="76"/>
      <c r="P29" s="178"/>
      <c r="Q29" s="174"/>
      <c r="R29" s="179"/>
      <c r="S29" s="180"/>
      <c r="T29" s="47"/>
    </row>
    <row r="30" spans="1:20" x14ac:dyDescent="0.25">
      <c r="A30" s="7" t="s">
        <v>2713</v>
      </c>
      <c r="C30" s="188">
        <v>0</v>
      </c>
      <c r="D30" s="189">
        <f>'Billing Det'!C30</f>
        <v>169645</v>
      </c>
      <c r="E30" s="189">
        <f>'Billing Det'!B30</f>
        <v>170307</v>
      </c>
      <c r="F30" s="188">
        <f>C30*E30</f>
        <v>0</v>
      </c>
      <c r="G30" s="56">
        <f>F30/$F$36</f>
        <v>0</v>
      </c>
      <c r="H30" s="20"/>
      <c r="I30" s="20"/>
      <c r="J30" s="20"/>
      <c r="K30" s="166"/>
      <c r="L30" s="20"/>
      <c r="M30" s="177"/>
      <c r="N30" s="174"/>
      <c r="O30" s="76"/>
      <c r="P30" s="178"/>
      <c r="Q30" s="174"/>
      <c r="R30" s="179"/>
      <c r="S30" s="180"/>
      <c r="T30" s="47"/>
    </row>
    <row r="31" spans="1:20" x14ac:dyDescent="0.25">
      <c r="A31" s="7"/>
      <c r="C31" s="188"/>
      <c r="D31" s="189"/>
      <c r="E31" s="189"/>
      <c r="F31" s="188"/>
      <c r="G31" s="189"/>
      <c r="H31" s="20"/>
      <c r="I31" s="20"/>
      <c r="J31" s="20"/>
      <c r="K31" s="166"/>
      <c r="L31" s="20"/>
      <c r="M31" s="177"/>
      <c r="N31" s="174"/>
      <c r="O31" s="76"/>
      <c r="P31" s="178"/>
      <c r="Q31" s="174"/>
      <c r="R31" s="179"/>
      <c r="S31" s="180"/>
      <c r="T31" s="47"/>
    </row>
    <row r="32" spans="1:20" x14ac:dyDescent="0.25">
      <c r="A32" s="7" t="s">
        <v>2714</v>
      </c>
      <c r="C32" s="188">
        <f>C10</f>
        <v>61.557381120000002</v>
      </c>
      <c r="D32" s="189">
        <f>'Billing Det'!C32</f>
        <v>11</v>
      </c>
      <c r="E32" s="189">
        <f>'Billing Det'!B32</f>
        <v>11</v>
      </c>
      <c r="F32" s="188">
        <f>C32*E32</f>
        <v>677.13119232000008</v>
      </c>
      <c r="G32" s="56">
        <f>F32/$F$36</f>
        <v>1.6438787288179267E-5</v>
      </c>
      <c r="H32" s="20"/>
      <c r="I32" s="20"/>
      <c r="J32" s="20"/>
      <c r="K32" s="166"/>
      <c r="L32" s="20"/>
      <c r="M32" s="177"/>
      <c r="N32" s="174"/>
      <c r="O32" s="76"/>
      <c r="P32" s="178"/>
      <c r="Q32" s="174"/>
      <c r="R32" s="179"/>
      <c r="S32" s="180"/>
      <c r="T32" s="47"/>
    </row>
    <row r="33" spans="1:20" x14ac:dyDescent="0.25">
      <c r="A33" s="7"/>
      <c r="C33" s="188"/>
      <c r="D33" s="189"/>
      <c r="E33" s="189"/>
      <c r="F33" s="188"/>
      <c r="G33" s="56"/>
      <c r="H33" s="20"/>
      <c r="I33" s="20"/>
      <c r="J33" s="20"/>
      <c r="K33" s="166"/>
      <c r="L33" s="20"/>
      <c r="M33" s="177"/>
      <c r="N33" s="174"/>
      <c r="O33" s="76"/>
      <c r="P33" s="178"/>
      <c r="Q33" s="174"/>
      <c r="R33" s="179"/>
      <c r="S33" s="180"/>
      <c r="T33" s="47"/>
    </row>
    <row r="34" spans="1:20" x14ac:dyDescent="0.25">
      <c r="A34" s="7" t="s">
        <v>2715</v>
      </c>
      <c r="C34" s="188">
        <f>C10</f>
        <v>61.557381120000002</v>
      </c>
      <c r="D34" s="189">
        <f>'Billing Det'!C34</f>
        <v>674</v>
      </c>
      <c r="E34" s="189">
        <f>'Billing Det'!B34</f>
        <v>720</v>
      </c>
      <c r="F34" s="188">
        <f>C34*E34</f>
        <v>44321.314406400001</v>
      </c>
      <c r="G34" s="56">
        <f>F34/$F$36</f>
        <v>1.0759933497717338E-3</v>
      </c>
      <c r="H34" s="20"/>
      <c r="I34" s="20"/>
      <c r="J34" s="20"/>
      <c r="K34" s="166"/>
      <c r="L34" s="20"/>
      <c r="M34" s="177"/>
      <c r="N34" s="174"/>
      <c r="O34" s="76"/>
      <c r="P34" s="178"/>
      <c r="Q34" s="174"/>
      <c r="R34" s="179"/>
      <c r="S34" s="180"/>
      <c r="T34" s="47"/>
    </row>
    <row r="35" spans="1:20" x14ac:dyDescent="0.25">
      <c r="A35" s="13"/>
      <c r="B35" s="192"/>
      <c r="C35" s="193"/>
      <c r="D35" s="194"/>
      <c r="E35" s="194"/>
      <c r="F35" s="193"/>
      <c r="G35" s="234"/>
      <c r="H35" s="20"/>
      <c r="I35" s="20"/>
      <c r="J35" s="20"/>
      <c r="K35" s="166"/>
      <c r="L35" s="20"/>
      <c r="M35" s="177"/>
      <c r="N35" s="174"/>
      <c r="O35" s="76"/>
      <c r="P35" s="178"/>
      <c r="Q35" s="174"/>
      <c r="R35" s="179"/>
      <c r="S35" s="180"/>
      <c r="T35" s="47"/>
    </row>
    <row r="36" spans="1:20" x14ac:dyDescent="0.25">
      <c r="A36" s="3" t="s">
        <v>82</v>
      </c>
      <c r="C36" s="188"/>
      <c r="D36" s="195">
        <f>SUM(D4:D35)</f>
        <v>679690</v>
      </c>
      <c r="E36" s="195">
        <f>SUM(E4:E35)</f>
        <v>679917</v>
      </c>
      <c r="F36" s="99">
        <f>SUM(F4:F35)</f>
        <v>41191067.227137163</v>
      </c>
      <c r="G36" s="56">
        <f>SUM(G10:G35)</f>
        <v>1.0000000000000002</v>
      </c>
      <c r="H36" s="6"/>
      <c r="I36" s="6"/>
      <c r="J36" s="6"/>
      <c r="K36" s="187"/>
      <c r="L36" s="20"/>
      <c r="M36" s="173"/>
      <c r="N36" s="174"/>
      <c r="O36" s="76"/>
      <c r="P36" s="178"/>
      <c r="Q36" s="174"/>
      <c r="R36" s="179"/>
      <c r="S36" s="180"/>
      <c r="T36" s="47"/>
    </row>
    <row r="37" spans="1:20" x14ac:dyDescent="0.25">
      <c r="G37" s="232"/>
      <c r="M37" s="177"/>
      <c r="N37" s="174"/>
      <c r="O37" s="76"/>
      <c r="P37" s="178"/>
      <c r="Q37" s="174"/>
      <c r="R37" s="179"/>
      <c r="S37" s="180"/>
      <c r="T37" s="47"/>
    </row>
    <row r="38" spans="1:20" x14ac:dyDescent="0.25">
      <c r="G38" s="233"/>
      <c r="M38" s="177"/>
      <c r="N38" s="174"/>
      <c r="O38" s="76"/>
      <c r="P38" s="178"/>
      <c r="Q38" s="174"/>
      <c r="R38" s="179"/>
      <c r="S38" s="180"/>
      <c r="T38" s="47"/>
    </row>
    <row r="39" spans="1:20" x14ac:dyDescent="0.25">
      <c r="C39" s="163"/>
      <c r="F39" s="188"/>
      <c r="G39" s="2"/>
      <c r="M39" s="177"/>
      <c r="N39" s="174"/>
      <c r="O39" s="76"/>
      <c r="P39" s="178"/>
      <c r="Q39" s="174"/>
      <c r="R39" s="179"/>
      <c r="S39" s="180"/>
      <c r="T39" s="47"/>
    </row>
    <row r="40" spans="1:20" x14ac:dyDescent="0.25">
      <c r="C40" s="55" t="s">
        <v>2702</v>
      </c>
      <c r="D40" s="55"/>
      <c r="E40" s="55"/>
      <c r="F40" s="62">
        <f>'Functional Assignment'!F41</f>
        <v>66969752.690000013</v>
      </c>
      <c r="M40" s="177"/>
      <c r="N40" s="174"/>
      <c r="O40" s="76"/>
      <c r="P40" s="178"/>
      <c r="Q40" s="174"/>
      <c r="R40" s="179"/>
      <c r="S40" s="180"/>
      <c r="T40" s="47"/>
    </row>
    <row r="41" spans="1:20" x14ac:dyDescent="0.25">
      <c r="C41" s="163"/>
      <c r="F41" s="188"/>
      <c r="G41" s="2"/>
      <c r="M41" s="174"/>
      <c r="N41" s="174"/>
      <c r="O41" s="76"/>
      <c r="P41" s="181"/>
      <c r="Q41" s="174"/>
      <c r="R41" s="179"/>
      <c r="S41" s="181"/>
      <c r="T41" s="47"/>
    </row>
    <row r="42" spans="1:20" x14ac:dyDescent="0.25">
      <c r="C42" s="163"/>
      <c r="F42" s="191"/>
      <c r="G42" s="2"/>
      <c r="M42" s="174"/>
      <c r="N42" s="174"/>
      <c r="O42" s="174"/>
      <c r="P42" s="174"/>
      <c r="Q42" s="174"/>
      <c r="R42" s="182"/>
      <c r="S42" s="174"/>
      <c r="T42" s="47"/>
    </row>
    <row r="43" spans="1:20" x14ac:dyDescent="0.25">
      <c r="A43" s="7"/>
      <c r="C43" s="163"/>
      <c r="F43" s="188"/>
      <c r="G43" s="2"/>
      <c r="M43" s="174"/>
      <c r="N43" s="174"/>
      <c r="O43" s="174"/>
      <c r="P43" s="174"/>
      <c r="Q43" s="174"/>
      <c r="R43" s="175"/>
      <c r="S43" s="174"/>
      <c r="T43" s="47"/>
    </row>
    <row r="44" spans="1:20" x14ac:dyDescent="0.25">
      <c r="C44" s="163"/>
      <c r="G44" s="2"/>
      <c r="M44" s="174"/>
      <c r="N44" s="174"/>
      <c r="O44" s="174"/>
      <c r="P44" s="174"/>
      <c r="Q44" s="174"/>
      <c r="R44" s="76"/>
      <c r="S44" s="174"/>
      <c r="T44" s="47"/>
    </row>
    <row r="45" spans="1:20" x14ac:dyDescent="0.25">
      <c r="A45" s="7"/>
      <c r="C45" s="163"/>
      <c r="F45" s="188"/>
      <c r="G45" s="2"/>
      <c r="M45" s="183"/>
      <c r="N45" s="183"/>
      <c r="O45" s="183"/>
      <c r="P45" s="183"/>
      <c r="Q45" s="183"/>
      <c r="R45" s="183"/>
      <c r="S45" s="183"/>
    </row>
    <row r="46" spans="1:20" x14ac:dyDescent="0.25">
      <c r="A46" s="7"/>
      <c r="C46" s="167"/>
      <c r="G46" s="2"/>
      <c r="M46" s="183"/>
      <c r="N46" s="183"/>
      <c r="O46" s="183"/>
      <c r="P46" s="183"/>
      <c r="Q46" s="183"/>
      <c r="R46" s="183"/>
      <c r="S46" s="183"/>
    </row>
    <row r="47" spans="1:20" x14ac:dyDescent="0.25">
      <c r="A47" s="7"/>
      <c r="D47" s="45"/>
      <c r="F47" s="188"/>
      <c r="G47" s="2"/>
      <c r="M47" s="183"/>
      <c r="N47" s="183"/>
      <c r="O47" s="183"/>
      <c r="P47" s="183"/>
      <c r="Q47" s="183"/>
      <c r="R47" s="183"/>
      <c r="S47" s="183"/>
    </row>
    <row r="48" spans="1:20" x14ac:dyDescent="0.25">
      <c r="A48" s="7"/>
      <c r="C48" s="167"/>
      <c r="G48" s="2"/>
    </row>
    <row r="49" spans="1:7" x14ac:dyDescent="0.25">
      <c r="A49" s="7"/>
      <c r="C49" s="163"/>
      <c r="D49" s="45"/>
      <c r="F49" s="188"/>
      <c r="G49" s="2"/>
    </row>
    <row r="50" spans="1:7" x14ac:dyDescent="0.25">
      <c r="A50" s="165"/>
      <c r="B50" s="20"/>
      <c r="C50" s="168"/>
      <c r="G50" s="2"/>
    </row>
    <row r="51" spans="1:7" x14ac:dyDescent="0.25">
      <c r="C51" s="167"/>
      <c r="D51" s="166"/>
      <c r="F51" s="188"/>
      <c r="G51" s="2"/>
    </row>
    <row r="52" spans="1:7" x14ac:dyDescent="0.25">
      <c r="C52" s="167"/>
      <c r="D52" s="45"/>
      <c r="G52" s="2"/>
    </row>
    <row r="53" spans="1:7" x14ac:dyDescent="0.25">
      <c r="C53" s="167"/>
      <c r="F53" s="188"/>
      <c r="G53" s="2"/>
    </row>
    <row r="54" spans="1:7" x14ac:dyDescent="0.25">
      <c r="C54" s="167"/>
      <c r="G54" s="2"/>
    </row>
    <row r="55" spans="1:7" x14ac:dyDescent="0.25">
      <c r="C55" s="167"/>
      <c r="F55" s="188"/>
      <c r="G55" s="2"/>
    </row>
    <row r="56" spans="1:7" x14ac:dyDescent="0.25">
      <c r="C56" s="167"/>
      <c r="G56" s="2"/>
    </row>
    <row r="57" spans="1:7" x14ac:dyDescent="0.25">
      <c r="C57" s="167"/>
      <c r="F57" s="188"/>
      <c r="G57" s="2"/>
    </row>
    <row r="58" spans="1:7" x14ac:dyDescent="0.25">
      <c r="C58" s="167"/>
      <c r="G58" s="2"/>
    </row>
    <row r="59" spans="1:7" x14ac:dyDescent="0.25">
      <c r="F59" s="188">
        <f>SUM(F10:F58)</f>
        <v>149351887.14427435</v>
      </c>
      <c r="G59" s="2">
        <f>SUM(G10:G58)</f>
        <v>2.0000000000000004</v>
      </c>
    </row>
    <row r="60" spans="1:7" x14ac:dyDescent="0.25">
      <c r="C60" s="1"/>
    </row>
    <row r="72" spans="4:12" x14ac:dyDescent="0.25">
      <c r="D72" s="47"/>
      <c r="E72" s="47"/>
      <c r="F72" s="55"/>
      <c r="G72" s="47"/>
      <c r="H72" s="47"/>
      <c r="I72" s="47"/>
      <c r="J72" s="47"/>
      <c r="K72" s="47"/>
      <c r="L72" s="55"/>
    </row>
    <row r="101" spans="13:20" x14ac:dyDescent="0.25">
      <c r="M101" s="47"/>
      <c r="N101" s="47"/>
      <c r="O101" s="47"/>
      <c r="P101" s="47"/>
      <c r="Q101" s="47"/>
      <c r="R101" s="55"/>
      <c r="S101" s="47"/>
      <c r="T101" s="47"/>
    </row>
    <row r="102" spans="13:20" x14ac:dyDescent="0.25">
      <c r="O102" s="47"/>
    </row>
    <row r="103" spans="13:20" x14ac:dyDescent="0.25">
      <c r="O103" s="47"/>
    </row>
    <row r="104" spans="13:20" x14ac:dyDescent="0.25">
      <c r="O104" s="47"/>
    </row>
    <row r="105" spans="13:20" x14ac:dyDescent="0.25">
      <c r="O105" s="47"/>
    </row>
    <row r="106" spans="13:20" x14ac:dyDescent="0.25">
      <c r="O106" s="47"/>
    </row>
    <row r="107" spans="13:20" x14ac:dyDescent="0.25">
      <c r="O107" s="47"/>
    </row>
  </sheetData>
  <mergeCells count="1">
    <mergeCell ref="O8:P8"/>
  </mergeCells>
  <phoneticPr fontId="0" type="noConversion"/>
  <pageMargins left="1" right="0.25" top="0.75" bottom="0.62" header="0.5" footer="0.2"/>
  <pageSetup scale="79" orientation="portrait" horizontalDpi="200" verticalDpi="200" r:id="rId1"/>
  <headerFooter alignWithMargins="0">
    <oddFooter>&amp;C&amp;12Meters&amp;R&amp;12Exhibit G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W320"/>
  <sheetViews>
    <sheetView zoomScale="75" zoomScaleNormal="75" workbookViewId="0">
      <selection activeCell="F30" sqref="F30"/>
    </sheetView>
  </sheetViews>
  <sheetFormatPr defaultRowHeight="12.75" x14ac:dyDescent="0.2"/>
  <cols>
    <col min="1" max="1" width="53.42578125" style="47" customWidth="1"/>
    <col min="2" max="2" width="2.7109375" style="47" customWidth="1"/>
    <col min="3" max="3" width="19.7109375" style="47" customWidth="1"/>
    <col min="4" max="4" width="18.5703125" style="47" customWidth="1"/>
    <col min="5" max="5" width="12.28515625" style="47" bestFit="1" customWidth="1"/>
    <col min="6" max="6" width="15.5703125" style="47" bestFit="1" customWidth="1"/>
    <col min="7" max="7" width="10.28515625" style="55" customWidth="1"/>
    <col min="8" max="9" width="15.140625" style="47" customWidth="1"/>
    <col min="10" max="10" width="32.140625" style="47" hidden="1" customWidth="1"/>
    <col min="11" max="11" width="21.28515625" style="41" hidden="1" customWidth="1"/>
    <col min="12" max="14" width="13.140625" style="66" hidden="1" customWidth="1"/>
    <col min="15" max="15" width="16.28515625" style="47" customWidth="1"/>
    <col min="16" max="16" width="4.42578125" style="47" customWidth="1"/>
    <col min="17" max="17" width="16.140625" style="47" customWidth="1"/>
    <col min="18" max="18" width="13.7109375" style="47" customWidth="1"/>
    <col min="19" max="19" width="3.28515625" style="47" customWidth="1"/>
    <col min="20" max="20" width="19.42578125" style="47" customWidth="1"/>
    <col min="21" max="21" width="13.42578125" style="47" customWidth="1"/>
    <col min="22" max="22" width="9.140625" style="47"/>
    <col min="23" max="23" width="20.5703125" style="47" customWidth="1"/>
    <col min="24" max="16384" width="9.140625" style="47"/>
  </cols>
  <sheetData>
    <row r="1" spans="1:23" ht="18.75" x14ac:dyDescent="0.3">
      <c r="A1" s="5" t="s">
        <v>1775</v>
      </c>
      <c r="B1"/>
      <c r="C1"/>
      <c r="D1" s="42"/>
      <c r="E1"/>
      <c r="F1" s="172"/>
      <c r="G1"/>
    </row>
    <row r="2" spans="1:23" ht="15.75" x14ac:dyDescent="0.25">
      <c r="A2" s="21" t="s">
        <v>1776</v>
      </c>
      <c r="B2"/>
      <c r="C2"/>
      <c r="D2" s="42"/>
      <c r="E2"/>
      <c r="F2" s="172"/>
      <c r="G2"/>
    </row>
    <row r="3" spans="1:23" ht="15.75" x14ac:dyDescent="0.25">
      <c r="A3" s="21" t="s">
        <v>2703</v>
      </c>
      <c r="B3"/>
      <c r="C3"/>
      <c r="D3" s="42"/>
      <c r="E3"/>
      <c r="F3" s="172"/>
      <c r="G3"/>
    </row>
    <row r="4" spans="1:23" ht="15.75" x14ac:dyDescent="0.25">
      <c r="A4" s="34"/>
      <c r="B4"/>
      <c r="C4"/>
      <c r="D4" s="42"/>
      <c r="E4"/>
      <c r="F4" s="172"/>
      <c r="G4"/>
      <c r="O4" s="173"/>
      <c r="P4" s="174"/>
      <c r="Q4" s="174"/>
      <c r="R4" s="174"/>
      <c r="S4" s="174"/>
      <c r="T4" s="174"/>
      <c r="U4" s="174"/>
    </row>
    <row r="5" spans="1:23" ht="15" x14ac:dyDescent="0.25">
      <c r="A5"/>
      <c r="B5"/>
      <c r="C5"/>
      <c r="D5" s="43"/>
      <c r="E5"/>
      <c r="F5" s="172"/>
      <c r="G5"/>
      <c r="O5" s="174"/>
      <c r="P5" s="174"/>
      <c r="Q5" s="174"/>
      <c r="R5" s="174"/>
      <c r="S5" s="174"/>
      <c r="T5" s="174"/>
      <c r="U5" s="174"/>
    </row>
    <row r="6" spans="1:23" ht="15" x14ac:dyDescent="0.25">
      <c r="A6"/>
      <c r="B6"/>
      <c r="C6" s="64" t="s">
        <v>2704</v>
      </c>
      <c r="D6" s="64" t="s">
        <v>829</v>
      </c>
      <c r="E6" s="64"/>
      <c r="F6" s="63" t="s">
        <v>82</v>
      </c>
      <c r="G6" s="171"/>
      <c r="K6" s="46" t="s">
        <v>826</v>
      </c>
      <c r="O6" s="54"/>
      <c r="P6" s="175"/>
      <c r="Q6" s="517"/>
      <c r="R6" s="517"/>
      <c r="S6" s="174"/>
      <c r="T6" s="175"/>
      <c r="U6" s="174"/>
    </row>
    <row r="7" spans="1:23" ht="15" x14ac:dyDescent="0.25">
      <c r="A7"/>
      <c r="B7"/>
      <c r="C7" s="48" t="s">
        <v>2698</v>
      </c>
      <c r="D7" s="48" t="s">
        <v>1063</v>
      </c>
      <c r="E7" s="48" t="s">
        <v>2699</v>
      </c>
      <c r="F7" s="63" t="s">
        <v>2704</v>
      </c>
      <c r="G7" s="63" t="s">
        <v>496</v>
      </c>
      <c r="K7" s="72" t="s">
        <v>827</v>
      </c>
      <c r="L7" s="67" t="s">
        <v>500</v>
      </c>
      <c r="M7" s="67"/>
      <c r="N7" s="67"/>
      <c r="O7" s="54"/>
      <c r="P7" s="174"/>
      <c r="Q7" s="54"/>
      <c r="R7" s="54"/>
      <c r="S7" s="174"/>
      <c r="T7" s="54"/>
      <c r="U7" s="173"/>
    </row>
    <row r="8" spans="1:23" ht="15.75" thickBot="1" x14ac:dyDescent="0.3">
      <c r="A8" s="12" t="s">
        <v>1777</v>
      </c>
      <c r="B8" s="12"/>
      <c r="C8" s="49" t="s">
        <v>626</v>
      </c>
      <c r="D8" s="49" t="s">
        <v>625</v>
      </c>
      <c r="E8" s="49" t="s">
        <v>625</v>
      </c>
      <c r="F8" s="75" t="s">
        <v>626</v>
      </c>
      <c r="G8" s="75" t="s">
        <v>2700</v>
      </c>
      <c r="K8" s="68" t="s">
        <v>828</v>
      </c>
      <c r="L8" s="69" t="s">
        <v>1108</v>
      </c>
      <c r="M8" s="67"/>
      <c r="N8" s="67"/>
      <c r="O8" s="54"/>
      <c r="P8" s="174"/>
      <c r="Q8" s="54"/>
      <c r="R8" s="54"/>
      <c r="S8" s="174"/>
      <c r="T8" s="176"/>
      <c r="U8" s="174"/>
    </row>
    <row r="9" spans="1:23" ht="15" x14ac:dyDescent="0.25">
      <c r="A9"/>
      <c r="B9"/>
      <c r="C9"/>
      <c r="D9" s="42"/>
      <c r="E9"/>
      <c r="F9" s="172"/>
      <c r="G9"/>
      <c r="K9" s="70"/>
      <c r="O9" s="54"/>
      <c r="P9" s="197"/>
      <c r="Q9" s="174"/>
      <c r="R9" s="174"/>
      <c r="S9" s="174"/>
      <c r="T9" s="197"/>
      <c r="U9" s="174"/>
    </row>
    <row r="10" spans="1:23" ht="15" x14ac:dyDescent="0.25">
      <c r="A10" s="7" t="s">
        <v>1906</v>
      </c>
      <c r="B10"/>
      <c r="C10" s="202">
        <v>296.61778836000008</v>
      </c>
      <c r="D10" s="189">
        <f>'Billing Det'!C8</f>
        <v>420348</v>
      </c>
      <c r="E10" s="189">
        <f>'Billing Det'!B8</f>
        <v>419902</v>
      </c>
      <c r="F10" s="188">
        <f>C10*E10</f>
        <v>124550402.56794076</v>
      </c>
      <c r="G10" s="56">
        <f>F10/$F$36</f>
        <v>0.58898013363729329</v>
      </c>
      <c r="H10" s="65"/>
      <c r="I10" s="65"/>
      <c r="J10" s="7" t="s">
        <v>255</v>
      </c>
      <c r="K10" s="52">
        <v>225746</v>
      </c>
      <c r="L10" s="71">
        <f>K10/$K$63</f>
        <v>0.47763688797391624</v>
      </c>
      <c r="M10" s="71"/>
      <c r="N10" s="71"/>
      <c r="O10" s="54"/>
      <c r="P10" s="179"/>
      <c r="Q10" s="198"/>
      <c r="R10" s="199"/>
      <c r="S10" s="173"/>
      <c r="T10" s="200"/>
      <c r="U10" s="201"/>
      <c r="W10" s="65"/>
    </row>
    <row r="11" spans="1:23" ht="15" x14ac:dyDescent="0.25">
      <c r="A11"/>
      <c r="B11"/>
      <c r="C11" s="188"/>
      <c r="D11" s="189"/>
      <c r="E11" s="189"/>
      <c r="F11" s="188"/>
      <c r="G11" s="189"/>
      <c r="H11" s="65"/>
      <c r="I11" s="65"/>
      <c r="J11" s="7"/>
      <c r="K11" s="52"/>
      <c r="O11" s="54"/>
      <c r="P11" s="179"/>
      <c r="Q11" s="198"/>
      <c r="R11" s="199"/>
      <c r="S11" s="173"/>
      <c r="T11" s="200"/>
      <c r="U11" s="201"/>
    </row>
    <row r="12" spans="1:23" ht="15" x14ac:dyDescent="0.25">
      <c r="A12" s="7" t="s">
        <v>1566</v>
      </c>
      <c r="B12"/>
      <c r="C12" s="203">
        <v>996.00596020000012</v>
      </c>
      <c r="D12" s="189">
        <f>'Billing Det'!C10</f>
        <v>82102</v>
      </c>
      <c r="E12" s="189">
        <f>'Billing Det'!B10</f>
        <v>82069</v>
      </c>
      <c r="F12" s="188">
        <f>C12*E12</f>
        <v>81741213.147653803</v>
      </c>
      <c r="G12" s="56">
        <f>F12/$F$36</f>
        <v>0.38654191115213504</v>
      </c>
      <c r="H12" s="65"/>
      <c r="I12" s="65"/>
      <c r="J12" s="7" t="s">
        <v>256</v>
      </c>
      <c r="K12" s="52">
        <v>165290</v>
      </c>
      <c r="L12" s="71">
        <f>K12/$K$63</f>
        <v>0.34972314554060147</v>
      </c>
      <c r="M12" s="71"/>
      <c r="N12" s="71"/>
      <c r="O12" s="54"/>
      <c r="P12" s="179"/>
      <c r="Q12" s="198"/>
      <c r="R12" s="199"/>
      <c r="S12" s="173"/>
      <c r="T12" s="200"/>
      <c r="U12" s="201"/>
    </row>
    <row r="13" spans="1:23" ht="15" x14ac:dyDescent="0.25">
      <c r="A13"/>
      <c r="B13"/>
      <c r="C13" s="203"/>
      <c r="D13" s="189"/>
      <c r="E13" s="189"/>
      <c r="F13" s="188"/>
      <c r="G13" s="189"/>
      <c r="H13" s="65"/>
      <c r="I13" s="65"/>
      <c r="J13" s="7"/>
      <c r="K13" s="52"/>
      <c r="O13" s="54"/>
      <c r="P13" s="179"/>
      <c r="Q13" s="76"/>
      <c r="R13" s="178"/>
      <c r="S13" s="174"/>
      <c r="T13" s="179"/>
      <c r="U13" s="180"/>
    </row>
    <row r="14" spans="1:23" ht="15" x14ac:dyDescent="0.25">
      <c r="A14" s="7" t="s">
        <v>263</v>
      </c>
      <c r="B14"/>
      <c r="C14" s="203">
        <v>606.78433200000006</v>
      </c>
      <c r="D14" s="189">
        <f>'Billing Det'!C12</f>
        <v>640</v>
      </c>
      <c r="E14" s="189">
        <f>'Billing Det'!B12</f>
        <v>643</v>
      </c>
      <c r="F14" s="188">
        <f>C14*E14</f>
        <v>390162.32547600003</v>
      </c>
      <c r="G14" s="56">
        <f>F14/$F$36</f>
        <v>1.8450189952115138E-3</v>
      </c>
      <c r="H14" s="65"/>
      <c r="I14" s="65"/>
      <c r="J14" s="7" t="s">
        <v>253</v>
      </c>
      <c r="K14" s="52">
        <v>68565</v>
      </c>
      <c r="L14" s="71">
        <f>K14/$K$63</f>
        <v>0.14507089039864079</v>
      </c>
      <c r="M14" s="71"/>
      <c r="N14" s="71"/>
      <c r="O14" s="54"/>
      <c r="P14" s="179"/>
      <c r="Q14" s="198"/>
      <c r="R14" s="199"/>
      <c r="S14" s="173"/>
      <c r="T14" s="200"/>
      <c r="U14" s="201"/>
    </row>
    <row r="15" spans="1:23" ht="15" x14ac:dyDescent="0.25">
      <c r="A15"/>
      <c r="B15"/>
      <c r="C15" s="203"/>
      <c r="D15" s="189"/>
      <c r="E15" s="189"/>
      <c r="F15" s="188"/>
      <c r="G15" s="189"/>
      <c r="H15" s="65"/>
      <c r="I15" s="65"/>
      <c r="J15" s="7"/>
      <c r="K15" s="52"/>
      <c r="O15" s="54"/>
      <c r="P15" s="179"/>
      <c r="Q15" s="76"/>
      <c r="R15" s="178"/>
      <c r="S15" s="174"/>
      <c r="T15" s="179"/>
      <c r="U15" s="180"/>
    </row>
    <row r="16" spans="1:23" ht="15" x14ac:dyDescent="0.25">
      <c r="A16" s="7" t="s">
        <v>2694</v>
      </c>
      <c r="B16"/>
      <c r="C16" s="203">
        <v>797.26014600000008</v>
      </c>
      <c r="D16" s="189">
        <f>'Billing Det'!C14</f>
        <v>5633</v>
      </c>
      <c r="E16" s="189">
        <f>'Billing Det'!B14</f>
        <v>5627</v>
      </c>
      <c r="F16" s="188">
        <f>C16*E16</f>
        <v>4486182.8415420009</v>
      </c>
      <c r="G16" s="56">
        <f>F16/$F$36</f>
        <v>2.1214484377851863E-2</v>
      </c>
      <c r="H16" s="65"/>
      <c r="I16" s="65"/>
      <c r="J16" s="7" t="s">
        <v>254</v>
      </c>
      <c r="K16" s="52">
        <v>0</v>
      </c>
      <c r="L16" s="71">
        <f>K16/$K$63</f>
        <v>0</v>
      </c>
      <c r="M16" s="71"/>
      <c r="N16" s="71"/>
      <c r="O16" s="54"/>
      <c r="P16" s="179"/>
      <c r="Q16" s="76"/>
      <c r="R16" s="178"/>
      <c r="S16" s="174"/>
      <c r="T16" s="179"/>
      <c r="U16" s="180"/>
    </row>
    <row r="17" spans="1:21" ht="15" x14ac:dyDescent="0.25">
      <c r="A17"/>
      <c r="B17"/>
      <c r="C17" s="203"/>
      <c r="D17" s="189"/>
      <c r="E17" s="189"/>
      <c r="F17" s="190"/>
      <c r="G17" s="189"/>
      <c r="H17" s="65"/>
      <c r="I17" s="65"/>
      <c r="J17" s="7"/>
      <c r="K17" s="52"/>
      <c r="O17" s="54"/>
      <c r="P17" s="179"/>
      <c r="Q17" s="76"/>
      <c r="R17" s="178"/>
      <c r="S17" s="174"/>
      <c r="T17" s="179"/>
      <c r="U17" s="180"/>
    </row>
    <row r="18" spans="1:21" ht="15" x14ac:dyDescent="0.25">
      <c r="A18" s="3" t="s">
        <v>2695</v>
      </c>
      <c r="B18"/>
      <c r="C18" s="203">
        <v>0</v>
      </c>
      <c r="D18" s="189">
        <f>'Billing Det'!C16</f>
        <v>297</v>
      </c>
      <c r="E18" s="189">
        <f>'Billing Det'!B16</f>
        <v>298</v>
      </c>
      <c r="F18" s="188">
        <f>C18*E18</f>
        <v>0</v>
      </c>
      <c r="G18" s="56">
        <f>F18/$F$36</f>
        <v>0</v>
      </c>
      <c r="H18" s="65"/>
      <c r="I18" s="65"/>
      <c r="J18" s="7" t="s">
        <v>251</v>
      </c>
      <c r="K18" s="73">
        <v>12893</v>
      </c>
      <c r="L18" s="71">
        <f>K18/$K$63</f>
        <v>2.7279209362060467E-2</v>
      </c>
      <c r="M18" s="71"/>
      <c r="N18" s="71"/>
      <c r="O18" s="54"/>
      <c r="P18" s="179"/>
      <c r="Q18" s="76"/>
      <c r="R18" s="178"/>
      <c r="S18" s="174"/>
      <c r="T18" s="179"/>
      <c r="U18" s="180"/>
    </row>
    <row r="19" spans="1:21" ht="15" x14ac:dyDescent="0.25">
      <c r="A19"/>
      <c r="B19"/>
      <c r="C19" s="203"/>
      <c r="D19" s="189"/>
      <c r="E19" s="189"/>
      <c r="F19" s="172"/>
      <c r="G19" s="189"/>
      <c r="H19" s="65"/>
      <c r="I19" s="65"/>
      <c r="J19" s="7"/>
      <c r="K19" s="52"/>
      <c r="O19" s="54"/>
      <c r="P19" s="179"/>
      <c r="Q19" s="198"/>
      <c r="R19" s="199"/>
      <c r="S19" s="173"/>
      <c r="T19" s="200"/>
      <c r="U19" s="201"/>
    </row>
    <row r="20" spans="1:21" ht="15" x14ac:dyDescent="0.25">
      <c r="A20" s="7" t="s">
        <v>2696</v>
      </c>
      <c r="B20"/>
      <c r="C20" s="203">
        <v>606.78433200000006</v>
      </c>
      <c r="D20" s="189">
        <f>'Billing Det'!C18</f>
        <v>137</v>
      </c>
      <c r="E20" s="189">
        <f>'Billing Det'!B18</f>
        <v>137</v>
      </c>
      <c r="F20" s="188">
        <f>C20*E20</f>
        <v>83129.453484000012</v>
      </c>
      <c r="G20" s="56">
        <f>F20/$F$36</f>
        <v>3.9310669104817636E-4</v>
      </c>
      <c r="H20" s="65"/>
      <c r="I20" s="65"/>
      <c r="J20" s="7" t="s">
        <v>252</v>
      </c>
      <c r="K20" s="52">
        <v>0</v>
      </c>
      <c r="L20" s="71">
        <f>K20/$K$63</f>
        <v>0</v>
      </c>
      <c r="M20" s="71"/>
      <c r="N20" s="71"/>
      <c r="O20" s="54"/>
      <c r="P20" s="179"/>
      <c r="Q20" s="76"/>
      <c r="R20" s="178"/>
      <c r="S20" s="174"/>
      <c r="T20" s="179"/>
      <c r="U20" s="180"/>
    </row>
    <row r="21" spans="1:21" ht="15" x14ac:dyDescent="0.25">
      <c r="A21"/>
      <c r="B21"/>
      <c r="C21" s="203"/>
      <c r="D21" s="189"/>
      <c r="E21" s="189"/>
      <c r="F21" s="190"/>
      <c r="G21" s="189"/>
      <c r="H21" s="65"/>
      <c r="I21" s="65"/>
      <c r="J21" s="7"/>
      <c r="K21" s="52"/>
      <c r="O21" s="54"/>
      <c r="P21" s="179"/>
      <c r="Q21" s="76"/>
      <c r="R21" s="178"/>
      <c r="S21" s="174"/>
      <c r="T21" s="179"/>
      <c r="U21" s="180"/>
    </row>
    <row r="22" spans="1:21" ht="15" x14ac:dyDescent="0.25">
      <c r="A22" s="7" t="s">
        <v>2763</v>
      </c>
      <c r="B22"/>
      <c r="C22" s="203">
        <v>0</v>
      </c>
      <c r="D22" s="189">
        <f>'Billing Det'!C20</f>
        <v>166</v>
      </c>
      <c r="E22" s="189">
        <f>'Billing Det'!B20</f>
        <v>167</v>
      </c>
      <c r="F22" s="188">
        <f>C22*E22</f>
        <v>0</v>
      </c>
      <c r="G22" s="56">
        <f>F22/$F$36</f>
        <v>0</v>
      </c>
      <c r="H22" s="65"/>
      <c r="I22" s="65"/>
      <c r="J22" s="7" t="s">
        <v>258</v>
      </c>
      <c r="K22" s="52">
        <v>0</v>
      </c>
      <c r="L22" s="71">
        <f>K22/$K$63</f>
        <v>0</v>
      </c>
      <c r="M22" s="71"/>
      <c r="N22" s="71"/>
      <c r="O22" s="54"/>
      <c r="P22" s="179"/>
      <c r="Q22" s="76"/>
      <c r="R22" s="178"/>
      <c r="S22" s="174"/>
      <c r="T22" s="179"/>
      <c r="U22" s="180"/>
    </row>
    <row r="23" spans="1:21" ht="15" x14ac:dyDescent="0.25">
      <c r="A23"/>
      <c r="B23"/>
      <c r="C23" s="203"/>
      <c r="D23" s="189"/>
      <c r="E23" s="189"/>
      <c r="F23" s="190"/>
      <c r="G23" s="189"/>
      <c r="H23" s="65"/>
      <c r="I23" s="65"/>
      <c r="J23"/>
      <c r="K23" s="74"/>
      <c r="O23" s="54"/>
      <c r="P23" s="179"/>
      <c r="Q23" s="76"/>
      <c r="R23" s="178"/>
      <c r="S23" s="174"/>
      <c r="T23" s="179"/>
      <c r="U23" s="180"/>
    </row>
    <row r="24" spans="1:21" ht="15" x14ac:dyDescent="0.25">
      <c r="A24" s="7" t="s">
        <v>2764</v>
      </c>
      <c r="B24"/>
      <c r="C24" s="203">
        <v>0</v>
      </c>
      <c r="D24" s="189">
        <f>'Billing Det'!C24</f>
        <v>0</v>
      </c>
      <c r="E24" s="189">
        <f>'Billing Det'!B24</f>
        <v>0</v>
      </c>
      <c r="F24" s="188">
        <f>C24*E24</f>
        <v>0</v>
      </c>
      <c r="G24" s="56">
        <f>F24/$F$36</f>
        <v>0</v>
      </c>
      <c r="H24" s="65"/>
      <c r="I24" s="65"/>
      <c r="J24" s="3" t="s">
        <v>1169</v>
      </c>
      <c r="K24" s="52">
        <v>0</v>
      </c>
      <c r="L24" s="71">
        <f>K24/$K$63</f>
        <v>0</v>
      </c>
      <c r="M24" s="71"/>
      <c r="N24" s="71"/>
      <c r="O24" s="54"/>
      <c r="P24" s="179"/>
      <c r="Q24" s="76"/>
      <c r="R24" s="178"/>
      <c r="S24" s="174"/>
      <c r="T24" s="179"/>
      <c r="U24" s="180"/>
    </row>
    <row r="25" spans="1:21" ht="15" x14ac:dyDescent="0.25">
      <c r="A25" s="7"/>
      <c r="B25"/>
      <c r="C25" s="203"/>
      <c r="D25" s="189"/>
      <c r="E25" s="189"/>
      <c r="F25" s="172"/>
      <c r="G25" s="189"/>
      <c r="H25" s="65"/>
      <c r="I25" s="65"/>
      <c r="J25" s="7"/>
      <c r="K25" s="52"/>
      <c r="O25" s="54"/>
      <c r="P25" s="179"/>
      <c r="Q25" s="76"/>
      <c r="R25" s="178"/>
      <c r="S25" s="174"/>
      <c r="T25" s="179"/>
      <c r="U25" s="180"/>
    </row>
    <row r="26" spans="1:21" ht="15" x14ac:dyDescent="0.25">
      <c r="A26" s="7" t="s">
        <v>2286</v>
      </c>
      <c r="B26"/>
      <c r="C26" s="203">
        <v>0</v>
      </c>
      <c r="D26" s="189">
        <f>'Billing Det'!C26</f>
        <v>36</v>
      </c>
      <c r="E26" s="189">
        <f>'Billing Det'!B26</f>
        <v>35</v>
      </c>
      <c r="F26" s="188">
        <f>C26*E26</f>
        <v>0</v>
      </c>
      <c r="G26" s="56">
        <f>F26/$F$36</f>
        <v>0</v>
      </c>
      <c r="H26" s="65"/>
      <c r="I26" s="65"/>
      <c r="J26" s="7" t="s">
        <v>249</v>
      </c>
      <c r="K26" s="52">
        <v>41</v>
      </c>
      <c r="L26" s="71">
        <f>K26/$K$63</f>
        <v>8.6748435883384715E-5</v>
      </c>
      <c r="M26" s="71"/>
      <c r="N26" s="71"/>
      <c r="O26" s="54"/>
      <c r="P26" s="179"/>
      <c r="Q26" s="198"/>
      <c r="R26" s="199"/>
      <c r="S26" s="173"/>
      <c r="T26" s="200"/>
      <c r="U26" s="201"/>
    </row>
    <row r="27" spans="1:21" ht="15" x14ac:dyDescent="0.25">
      <c r="A27" s="7"/>
      <c r="B27"/>
      <c r="C27" s="203"/>
      <c r="D27" s="189"/>
      <c r="E27" s="189"/>
      <c r="F27" s="172"/>
      <c r="G27" s="189"/>
      <c r="H27" s="65"/>
      <c r="I27" s="65"/>
      <c r="J27" s="7"/>
      <c r="K27" s="52"/>
      <c r="O27" s="54"/>
      <c r="P27" s="179"/>
      <c r="Q27" s="76"/>
      <c r="R27" s="178"/>
      <c r="S27" s="174"/>
      <c r="T27" s="179"/>
      <c r="U27" s="180"/>
    </row>
    <row r="28" spans="1:21" ht="15" x14ac:dyDescent="0.25">
      <c r="A28" s="7" t="s">
        <v>2693</v>
      </c>
      <c r="B28"/>
      <c r="C28" s="203">
        <v>0</v>
      </c>
      <c r="D28" s="189">
        <f>'Billing Det'!C28</f>
        <v>1</v>
      </c>
      <c r="E28" s="189">
        <f>'Billing Det'!B28</f>
        <v>1</v>
      </c>
      <c r="F28" s="188">
        <f>C28*E28</f>
        <v>0</v>
      </c>
      <c r="G28" s="56">
        <f>F28/$F$36</f>
        <v>0</v>
      </c>
      <c r="H28" s="65"/>
      <c r="I28" s="65"/>
      <c r="J28" s="7" t="s">
        <v>250</v>
      </c>
      <c r="K28" s="52">
        <v>0</v>
      </c>
      <c r="L28" s="71">
        <f>K28/$K$63</f>
        <v>0</v>
      </c>
      <c r="M28" s="71"/>
      <c r="N28" s="71"/>
      <c r="O28" s="54"/>
      <c r="P28" s="179"/>
      <c r="Q28" s="198"/>
      <c r="R28" s="199"/>
      <c r="S28" s="173"/>
      <c r="T28" s="200"/>
      <c r="U28" s="201"/>
    </row>
    <row r="29" spans="1:21" ht="15" x14ac:dyDescent="0.25">
      <c r="A29" s="7"/>
      <c r="B29"/>
      <c r="C29" s="203"/>
      <c r="D29" s="189"/>
      <c r="E29" s="189"/>
      <c r="F29" s="188"/>
      <c r="G29" s="189"/>
      <c r="H29" s="65"/>
      <c r="I29" s="65"/>
      <c r="J29" s="7"/>
      <c r="K29" s="52"/>
      <c r="O29" s="54"/>
      <c r="P29" s="179"/>
      <c r="Q29" s="76"/>
      <c r="R29" s="178"/>
      <c r="S29" s="174"/>
      <c r="T29" s="179"/>
      <c r="U29" s="180"/>
    </row>
    <row r="30" spans="1:21" ht="15" x14ac:dyDescent="0.25">
      <c r="A30" s="7" t="s">
        <v>2713</v>
      </c>
      <c r="B30"/>
      <c r="C30" s="203">
        <f>C10</f>
        <v>296.61778836000008</v>
      </c>
      <c r="D30" s="189">
        <f>'Billing Det'!C30</f>
        <v>169645</v>
      </c>
      <c r="E30" s="189">
        <f>'Billing Det'!B30</f>
        <v>170307</v>
      </c>
      <c r="F30" s="188">
        <v>0</v>
      </c>
      <c r="G30" s="56">
        <f>F30/$F$36</f>
        <v>0</v>
      </c>
      <c r="H30" s="65"/>
      <c r="I30" s="65"/>
      <c r="J30" s="3" t="s">
        <v>261</v>
      </c>
      <c r="K30" s="52">
        <v>0</v>
      </c>
      <c r="L30" s="71">
        <f>K30/$K$63</f>
        <v>0</v>
      </c>
      <c r="M30" s="71"/>
      <c r="N30" s="71"/>
      <c r="O30" s="54"/>
      <c r="P30" s="179"/>
      <c r="Q30" s="76"/>
      <c r="R30" s="178"/>
      <c r="S30" s="174"/>
      <c r="T30" s="179"/>
      <c r="U30" s="180"/>
    </row>
    <row r="31" spans="1:21" ht="15" x14ac:dyDescent="0.25">
      <c r="A31" s="7"/>
      <c r="B31"/>
      <c r="C31" s="203"/>
      <c r="D31" s="189"/>
      <c r="E31" s="189"/>
      <c r="F31" s="188"/>
      <c r="G31" s="56"/>
      <c r="H31" s="65"/>
      <c r="I31" s="65"/>
      <c r="J31" s="3"/>
      <c r="K31" s="52"/>
      <c r="L31" s="71"/>
      <c r="M31" s="71"/>
      <c r="N31" s="71"/>
      <c r="O31" s="54"/>
      <c r="P31" s="179"/>
      <c r="Q31" s="76"/>
      <c r="R31" s="178"/>
      <c r="S31" s="174"/>
      <c r="T31" s="179"/>
      <c r="U31" s="180"/>
    </row>
    <row r="32" spans="1:21" ht="15" x14ac:dyDescent="0.25">
      <c r="A32" s="7" t="s">
        <v>2714</v>
      </c>
      <c r="B32"/>
      <c r="C32" s="203">
        <f>C10</f>
        <v>296.61778836000008</v>
      </c>
      <c r="D32" s="189">
        <f>'Billing Det'!C32</f>
        <v>11</v>
      </c>
      <c r="E32" s="189">
        <f>'Billing Det'!B32</f>
        <v>11</v>
      </c>
      <c r="F32" s="188">
        <f>C32*E32</f>
        <v>3262.7956719600006</v>
      </c>
      <c r="G32" s="56">
        <f>F32/$F$36</f>
        <v>1.5429270329767957E-5</v>
      </c>
      <c r="H32" s="65"/>
      <c r="I32" s="65"/>
      <c r="J32" s="3"/>
      <c r="K32" s="52"/>
      <c r="L32" s="71"/>
      <c r="M32" s="71"/>
      <c r="N32" s="71"/>
      <c r="O32" s="54"/>
      <c r="P32" s="179"/>
      <c r="Q32" s="76"/>
      <c r="R32" s="178"/>
      <c r="S32" s="174"/>
      <c r="T32" s="179"/>
      <c r="U32" s="180"/>
    </row>
    <row r="33" spans="1:21" ht="15" x14ac:dyDescent="0.25">
      <c r="A33" s="7"/>
      <c r="B33"/>
      <c r="C33" s="203"/>
      <c r="D33" s="189"/>
      <c r="E33" s="189"/>
      <c r="F33" s="188"/>
      <c r="G33" s="56"/>
      <c r="H33" s="65"/>
      <c r="I33" s="65"/>
      <c r="J33" s="3"/>
      <c r="K33" s="52"/>
      <c r="L33" s="71"/>
      <c r="M33" s="71"/>
      <c r="N33" s="71"/>
      <c r="O33" s="54"/>
      <c r="P33" s="179"/>
      <c r="Q33" s="76"/>
      <c r="R33" s="178"/>
      <c r="S33" s="174"/>
      <c r="T33" s="179"/>
      <c r="U33" s="180"/>
    </row>
    <row r="34" spans="1:21" ht="15" x14ac:dyDescent="0.25">
      <c r="A34" s="7" t="s">
        <v>2715</v>
      </c>
      <c r="B34"/>
      <c r="C34" s="203">
        <f>C10</f>
        <v>296.61778836000008</v>
      </c>
      <c r="D34" s="189">
        <f>'Billing Det'!C34</f>
        <v>674</v>
      </c>
      <c r="E34" s="189">
        <f>'Billing Det'!B34</f>
        <v>720</v>
      </c>
      <c r="F34" s="188">
        <f>C34*E34</f>
        <v>213564.80761920006</v>
      </c>
      <c r="G34" s="56">
        <f>F34/$F$36</f>
        <v>1.0099158761302665E-3</v>
      </c>
      <c r="H34" s="65"/>
      <c r="I34" s="65"/>
      <c r="J34" s="3"/>
      <c r="K34" s="52"/>
      <c r="L34" s="71"/>
      <c r="M34" s="71"/>
      <c r="N34" s="71"/>
      <c r="O34" s="54"/>
      <c r="P34" s="179"/>
      <c r="Q34" s="76"/>
      <c r="R34" s="178"/>
      <c r="S34" s="174"/>
      <c r="T34" s="179"/>
      <c r="U34" s="180"/>
    </row>
    <row r="35" spans="1:21" ht="15" x14ac:dyDescent="0.25">
      <c r="A35" s="192"/>
      <c r="B35" s="192"/>
      <c r="C35" s="204"/>
      <c r="D35" s="194"/>
      <c r="E35" s="194"/>
      <c r="F35" s="193"/>
      <c r="G35" s="194"/>
      <c r="H35" s="65"/>
      <c r="I35" s="65"/>
      <c r="J35" s="7"/>
      <c r="K35" s="52"/>
      <c r="O35" s="54"/>
      <c r="P35" s="179"/>
      <c r="Q35" s="76"/>
      <c r="R35" s="178"/>
      <c r="S35" s="174"/>
      <c r="T35" s="179"/>
      <c r="U35" s="180"/>
    </row>
    <row r="36" spans="1:21" ht="15" x14ac:dyDescent="0.25">
      <c r="A36" s="3" t="s">
        <v>82</v>
      </c>
      <c r="B36"/>
      <c r="C36" s="188"/>
      <c r="D36" s="195">
        <f>SUM(D4:D35)</f>
        <v>679690</v>
      </c>
      <c r="E36" s="195">
        <f>SUM(E4:E35)</f>
        <v>679917</v>
      </c>
      <c r="F36" s="99">
        <f>SUM(F4:F35)</f>
        <v>211467917.93938774</v>
      </c>
      <c r="G36" s="56">
        <f>SUM(G10:G35)</f>
        <v>1</v>
      </c>
      <c r="J36" s="3" t="s">
        <v>262</v>
      </c>
      <c r="K36" s="52">
        <v>0</v>
      </c>
      <c r="L36" s="71">
        <f>K36/$K$63</f>
        <v>0</v>
      </c>
      <c r="M36" s="71"/>
      <c r="N36" s="71"/>
      <c r="O36" s="54"/>
      <c r="P36" s="179"/>
      <c r="Q36" s="76"/>
      <c r="R36" s="178"/>
      <c r="S36" s="174"/>
      <c r="T36" s="179"/>
      <c r="U36" s="180"/>
    </row>
    <row r="37" spans="1:21" ht="14.25" x14ac:dyDescent="0.2">
      <c r="A37" s="50"/>
      <c r="D37" s="58"/>
      <c r="J37" s="7"/>
      <c r="K37" s="52"/>
      <c r="O37" s="54"/>
      <c r="P37" s="179"/>
      <c r="Q37" s="76"/>
      <c r="R37" s="178"/>
      <c r="S37" s="174"/>
      <c r="T37" s="179"/>
      <c r="U37" s="180"/>
    </row>
    <row r="38" spans="1:21" ht="14.25" x14ac:dyDescent="0.2">
      <c r="A38" s="173"/>
      <c r="B38" s="174"/>
      <c r="C38" s="76"/>
      <c r="D38" s="178"/>
      <c r="E38" s="174"/>
      <c r="F38" s="76"/>
      <c r="G38" s="76"/>
      <c r="J38" s="3" t="s">
        <v>259</v>
      </c>
      <c r="K38" s="52">
        <v>0</v>
      </c>
      <c r="L38" s="71">
        <f>K38/$K$63</f>
        <v>0</v>
      </c>
      <c r="M38" s="71"/>
      <c r="N38" s="71"/>
      <c r="O38" s="54"/>
      <c r="P38" s="179"/>
      <c r="Q38" s="76"/>
      <c r="R38" s="178"/>
      <c r="S38" s="174"/>
      <c r="T38" s="179"/>
      <c r="U38" s="178"/>
    </row>
    <row r="39" spans="1:21" ht="14.25" x14ac:dyDescent="0.2">
      <c r="A39" s="177"/>
      <c r="B39" s="174"/>
      <c r="C39" s="76"/>
      <c r="D39" s="178"/>
      <c r="E39" s="174"/>
      <c r="F39" s="76"/>
      <c r="G39" s="76"/>
      <c r="J39" s="7"/>
      <c r="K39" s="52"/>
      <c r="O39" s="59"/>
      <c r="P39" s="182"/>
      <c r="Q39" s="174"/>
      <c r="R39" s="174"/>
      <c r="S39" s="174"/>
      <c r="T39" s="182"/>
      <c r="U39" s="174"/>
    </row>
    <row r="40" spans="1:21" ht="14.25" x14ac:dyDescent="0.2">
      <c r="A40" s="173"/>
      <c r="B40" s="174"/>
      <c r="C40" s="55" t="s">
        <v>2702</v>
      </c>
      <c r="D40" s="55"/>
      <c r="E40" s="55"/>
      <c r="F40" s="62">
        <f>'Functional Assignment'!F40</f>
        <v>84507617.649999991</v>
      </c>
      <c r="G40" s="76"/>
      <c r="J40" s="3" t="s">
        <v>260</v>
      </c>
      <c r="K40" s="52">
        <v>0</v>
      </c>
      <c r="L40" s="71">
        <f>K40/$K$63</f>
        <v>0</v>
      </c>
      <c r="M40" s="71"/>
      <c r="N40" s="71"/>
      <c r="O40" s="59"/>
      <c r="P40" s="175"/>
      <c r="Q40" s="174"/>
      <c r="R40" s="174"/>
      <c r="S40" s="174"/>
      <c r="T40" s="175"/>
      <c r="U40" s="174"/>
    </row>
    <row r="41" spans="1:21" ht="14.25" x14ac:dyDescent="0.2">
      <c r="A41" s="177"/>
      <c r="B41" s="174"/>
      <c r="C41" s="174"/>
      <c r="D41" s="178"/>
      <c r="E41" s="174"/>
      <c r="F41" s="174"/>
      <c r="G41" s="174"/>
      <c r="J41" s="7"/>
      <c r="K41" s="52"/>
      <c r="O41" s="59"/>
      <c r="P41" s="76"/>
      <c r="Q41" s="174"/>
      <c r="R41" s="174"/>
      <c r="S41" s="174"/>
      <c r="T41" s="76"/>
      <c r="U41" s="174"/>
    </row>
    <row r="42" spans="1:21" ht="14.25" x14ac:dyDescent="0.2">
      <c r="A42" s="173"/>
      <c r="B42" s="174"/>
      <c r="C42" s="76"/>
      <c r="D42" s="178"/>
      <c r="E42" s="174"/>
      <c r="F42" s="76"/>
      <c r="G42" s="76"/>
      <c r="J42" s="7" t="s">
        <v>824</v>
      </c>
      <c r="K42" s="52">
        <v>0</v>
      </c>
      <c r="L42" s="71">
        <f>K42/$K$63</f>
        <v>0</v>
      </c>
      <c r="M42" s="71"/>
      <c r="N42" s="71"/>
      <c r="O42" s="174"/>
      <c r="P42" s="174"/>
      <c r="Q42" s="174"/>
      <c r="R42" s="174"/>
      <c r="S42" s="174"/>
      <c r="T42" s="174"/>
      <c r="U42" s="174"/>
    </row>
    <row r="43" spans="1:21" ht="14.25" x14ac:dyDescent="0.2">
      <c r="A43" s="177"/>
      <c r="B43" s="174"/>
      <c r="C43" s="174"/>
      <c r="D43" s="178"/>
      <c r="E43" s="174"/>
      <c r="F43" s="174"/>
      <c r="G43" s="174"/>
      <c r="J43" s="7"/>
      <c r="K43" s="52"/>
    </row>
    <row r="44" spans="1:21" ht="14.25" x14ac:dyDescent="0.2">
      <c r="A44" s="173"/>
      <c r="B44" s="174"/>
      <c r="C44" s="76"/>
      <c r="D44" s="178"/>
      <c r="E44" s="174"/>
      <c r="F44" s="76"/>
      <c r="G44" s="76"/>
      <c r="J44" s="7" t="s">
        <v>482</v>
      </c>
      <c r="K44" s="52">
        <v>0</v>
      </c>
      <c r="L44" s="71">
        <f>K44/$K$63</f>
        <v>0</v>
      </c>
      <c r="M44" s="71"/>
      <c r="N44" s="71"/>
      <c r="O44" s="55"/>
      <c r="P44" s="55"/>
      <c r="T44" s="55"/>
    </row>
    <row r="45" spans="1:21" ht="14.25" x14ac:dyDescent="0.2">
      <c r="A45" s="177"/>
      <c r="B45" s="174"/>
      <c r="C45" s="174"/>
      <c r="D45" s="178"/>
      <c r="E45" s="174"/>
      <c r="F45" s="174"/>
      <c r="G45" s="174"/>
      <c r="J45" s="7"/>
      <c r="K45" s="52"/>
    </row>
    <row r="46" spans="1:21" ht="14.25" x14ac:dyDescent="0.2">
      <c r="A46" s="177"/>
      <c r="B46" s="174"/>
      <c r="C46" s="76"/>
      <c r="D46" s="178"/>
      <c r="E46" s="174"/>
      <c r="F46" s="76"/>
      <c r="G46" s="76"/>
      <c r="J46" s="7" t="s">
        <v>825</v>
      </c>
      <c r="K46" s="52">
        <v>0</v>
      </c>
      <c r="L46" s="71">
        <f>K46/$K$63</f>
        <v>0</v>
      </c>
      <c r="M46" s="71"/>
      <c r="N46" s="71"/>
    </row>
    <row r="47" spans="1:21" x14ac:dyDescent="0.2">
      <c r="A47" s="177"/>
      <c r="B47" s="174"/>
      <c r="C47" s="174"/>
      <c r="D47" s="178"/>
      <c r="E47" s="174"/>
      <c r="F47" s="174"/>
      <c r="G47" s="174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</row>
    <row r="48" spans="1:21" x14ac:dyDescent="0.2">
      <c r="A48" s="173"/>
      <c r="B48" s="174"/>
      <c r="C48" s="76"/>
      <c r="D48" s="178"/>
      <c r="E48" s="174"/>
      <c r="F48" s="76"/>
      <c r="G48" s="76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</row>
    <row r="49" spans="1:14" ht="14.25" x14ac:dyDescent="0.2">
      <c r="A49" s="177"/>
      <c r="B49" s="174"/>
      <c r="C49" s="174"/>
      <c r="D49" s="178"/>
      <c r="E49" s="174"/>
      <c r="F49" s="174"/>
      <c r="G49" s="174"/>
      <c r="J49" s="7"/>
      <c r="K49" s="52"/>
    </row>
    <row r="50" spans="1:14" ht="14.25" x14ac:dyDescent="0.2">
      <c r="A50" s="177"/>
      <c r="B50" s="174"/>
      <c r="C50" s="76"/>
      <c r="D50" s="178"/>
      <c r="E50" s="174"/>
      <c r="F50" s="76"/>
      <c r="G50" s="76"/>
      <c r="J50" s="7" t="s">
        <v>1084</v>
      </c>
      <c r="K50" s="52">
        <v>0</v>
      </c>
      <c r="L50" s="71">
        <f>K50/$K$63</f>
        <v>0</v>
      </c>
      <c r="M50" s="71"/>
      <c r="N50" s="71"/>
    </row>
    <row r="51" spans="1:14" ht="15" x14ac:dyDescent="0.25">
      <c r="A51" s="177"/>
      <c r="B51" s="174"/>
      <c r="C51" s="174"/>
      <c r="D51" s="178"/>
      <c r="E51" s="174"/>
      <c r="F51" s="174"/>
      <c r="G51" s="174"/>
      <c r="J51"/>
      <c r="K51" s="52"/>
    </row>
    <row r="52" spans="1:14" ht="14.25" x14ac:dyDescent="0.2">
      <c r="A52" s="177"/>
      <c r="B52" s="174"/>
      <c r="C52" s="76"/>
      <c r="D52" s="178"/>
      <c r="E52" s="174"/>
      <c r="F52" s="76"/>
      <c r="G52" s="76"/>
      <c r="J52" s="3" t="s">
        <v>1085</v>
      </c>
      <c r="K52" s="52">
        <v>96</v>
      </c>
      <c r="L52" s="71">
        <f>K52/$K$63</f>
        <v>2.0311828889768127E-4</v>
      </c>
      <c r="M52" s="71"/>
      <c r="N52" s="71"/>
    </row>
    <row r="53" spans="1:14" ht="15" x14ac:dyDescent="0.25">
      <c r="A53" s="177"/>
      <c r="B53" s="174"/>
      <c r="C53" s="174"/>
      <c r="D53" s="178"/>
      <c r="E53" s="174"/>
      <c r="F53" s="174"/>
      <c r="G53" s="174"/>
      <c r="J53"/>
      <c r="K53" s="52"/>
    </row>
    <row r="54" spans="1:14" ht="14.25" x14ac:dyDescent="0.2">
      <c r="A54" s="177"/>
      <c r="B54" s="174"/>
      <c r="C54" s="76"/>
      <c r="D54" s="178"/>
      <c r="E54" s="174"/>
      <c r="F54" s="76"/>
      <c r="G54" s="76"/>
      <c r="J54" s="3" t="s">
        <v>344</v>
      </c>
      <c r="K54" s="52">
        <v>0</v>
      </c>
      <c r="L54" s="71">
        <f>K54/$K$63</f>
        <v>0</v>
      </c>
      <c r="M54" s="71"/>
      <c r="N54" s="71"/>
    </row>
    <row r="55" spans="1:14" ht="14.25" x14ac:dyDescent="0.2">
      <c r="A55" s="177"/>
      <c r="B55" s="174"/>
      <c r="C55" s="174"/>
      <c r="D55" s="178"/>
      <c r="E55" s="174"/>
      <c r="F55" s="174"/>
      <c r="G55" s="174"/>
      <c r="J55" s="7"/>
      <c r="K55" s="52"/>
    </row>
    <row r="56" spans="1:14" ht="14.25" x14ac:dyDescent="0.2">
      <c r="A56" s="177"/>
      <c r="B56" s="174"/>
      <c r="C56" s="76"/>
      <c r="D56" s="178"/>
      <c r="E56" s="174"/>
      <c r="F56" s="76"/>
      <c r="G56" s="76"/>
      <c r="J56" s="7" t="s">
        <v>497</v>
      </c>
      <c r="K56" s="52">
        <v>0</v>
      </c>
      <c r="L56" s="71">
        <f>K56/$K$63</f>
        <v>0</v>
      </c>
      <c r="M56" s="71"/>
      <c r="N56" s="71"/>
    </row>
    <row r="57" spans="1:14" ht="14.25" x14ac:dyDescent="0.2">
      <c r="A57" s="174"/>
      <c r="B57" s="174"/>
      <c r="C57" s="76"/>
      <c r="D57" s="196"/>
      <c r="E57" s="174"/>
      <c r="F57" s="76"/>
      <c r="G57" s="76"/>
      <c r="H57" s="65"/>
      <c r="I57" s="65"/>
      <c r="J57" s="7"/>
      <c r="K57" s="52"/>
    </row>
    <row r="58" spans="1:14" ht="14.25" x14ac:dyDescent="0.2">
      <c r="A58" s="174"/>
      <c r="B58" s="174"/>
      <c r="C58" s="174"/>
      <c r="D58" s="174"/>
      <c r="E58" s="174"/>
      <c r="F58" s="174"/>
      <c r="G58" s="174"/>
      <c r="J58" s="7" t="s">
        <v>484</v>
      </c>
      <c r="K58" s="52">
        <v>0</v>
      </c>
      <c r="L58" s="71">
        <f>K58/$K$63</f>
        <v>0</v>
      </c>
      <c r="M58" s="71"/>
      <c r="N58" s="71"/>
    </row>
    <row r="59" spans="1:14" ht="14.25" x14ac:dyDescent="0.2">
      <c r="C59" s="51"/>
      <c r="F59" s="51"/>
      <c r="G59" s="62"/>
      <c r="J59" s="7"/>
      <c r="K59" s="52"/>
    </row>
    <row r="60" spans="1:14" ht="14.25" x14ac:dyDescent="0.2">
      <c r="J60" s="7" t="s">
        <v>1087</v>
      </c>
      <c r="K60" s="52">
        <v>0</v>
      </c>
      <c r="L60" s="71">
        <f>K60/$K$63</f>
        <v>0</v>
      </c>
      <c r="M60" s="71"/>
      <c r="N60" s="71"/>
    </row>
    <row r="61" spans="1:14" ht="14.25" x14ac:dyDescent="0.2">
      <c r="J61" s="7"/>
      <c r="K61" s="74"/>
    </row>
    <row r="62" spans="1:14" ht="14.25" x14ac:dyDescent="0.2">
      <c r="J62" s="13" t="s">
        <v>1086</v>
      </c>
      <c r="K62" s="53">
        <v>0</v>
      </c>
      <c r="L62" s="71">
        <f>K62/$K$63</f>
        <v>0</v>
      </c>
      <c r="M62" s="71"/>
      <c r="N62" s="71"/>
    </row>
    <row r="63" spans="1:14" x14ac:dyDescent="0.2">
      <c r="K63" s="52">
        <f>SUM(K10:K62)</f>
        <v>472631</v>
      </c>
      <c r="L63" s="71">
        <f>SUM(L10:L62)</f>
        <v>1.0000000000000002</v>
      </c>
      <c r="M63" s="71"/>
      <c r="N63" s="71"/>
    </row>
    <row r="65" spans="15:15" x14ac:dyDescent="0.2">
      <c r="O65" s="61"/>
    </row>
    <row r="66" spans="15:15" x14ac:dyDescent="0.2">
      <c r="O66" s="55"/>
    </row>
    <row r="67" spans="15:15" x14ac:dyDescent="0.2">
      <c r="O67" s="55"/>
    </row>
    <row r="68" spans="15:15" x14ac:dyDescent="0.2">
      <c r="O68" s="55"/>
    </row>
    <row r="69" spans="15:15" x14ac:dyDescent="0.2">
      <c r="O69" s="55"/>
    </row>
    <row r="70" spans="15:15" x14ac:dyDescent="0.2">
      <c r="O70" s="56"/>
    </row>
    <row r="71" spans="15:15" x14ac:dyDescent="0.2">
      <c r="O71" s="57"/>
    </row>
    <row r="72" spans="15:15" x14ac:dyDescent="0.2">
      <c r="O72" s="57"/>
    </row>
    <row r="73" spans="15:15" x14ac:dyDescent="0.2">
      <c r="O73" s="57"/>
    </row>
    <row r="74" spans="15:15" x14ac:dyDescent="0.2">
      <c r="O74" s="57"/>
    </row>
    <row r="75" spans="15:15" x14ac:dyDescent="0.2">
      <c r="O75" s="57"/>
    </row>
    <row r="76" spans="15:15" x14ac:dyDescent="0.2">
      <c r="O76" s="57"/>
    </row>
    <row r="77" spans="15:15" x14ac:dyDescent="0.2">
      <c r="O77" s="57"/>
    </row>
    <row r="78" spans="15:15" x14ac:dyDescent="0.2">
      <c r="O78" s="57"/>
    </row>
    <row r="79" spans="15:15" x14ac:dyDescent="0.2">
      <c r="O79" s="57"/>
    </row>
    <row r="80" spans="15:15" x14ac:dyDescent="0.2">
      <c r="O80" s="57"/>
    </row>
    <row r="81" spans="15:15" x14ac:dyDescent="0.2">
      <c r="O81" s="57"/>
    </row>
    <row r="82" spans="15:15" x14ac:dyDescent="0.2">
      <c r="O82" s="57"/>
    </row>
    <row r="83" spans="15:15" x14ac:dyDescent="0.2">
      <c r="O83" s="57"/>
    </row>
    <row r="84" spans="15:15" x14ac:dyDescent="0.2">
      <c r="O84" s="57"/>
    </row>
    <row r="85" spans="15:15" x14ac:dyDescent="0.2">
      <c r="O85" s="57"/>
    </row>
    <row r="86" spans="15:15" x14ac:dyDescent="0.2">
      <c r="O86" s="57"/>
    </row>
    <row r="87" spans="15:15" x14ac:dyDescent="0.2">
      <c r="O87" s="57"/>
    </row>
    <row r="88" spans="15:15" x14ac:dyDescent="0.2">
      <c r="O88" s="57"/>
    </row>
    <row r="89" spans="15:15" x14ac:dyDescent="0.2">
      <c r="O89" s="57"/>
    </row>
    <row r="90" spans="15:15" x14ac:dyDescent="0.2">
      <c r="O90" s="57"/>
    </row>
    <row r="91" spans="15:15" x14ac:dyDescent="0.2">
      <c r="O91" s="57"/>
    </row>
    <row r="92" spans="15:15" x14ac:dyDescent="0.2">
      <c r="O92" s="57"/>
    </row>
    <row r="93" spans="15:15" x14ac:dyDescent="0.2">
      <c r="O93" s="57"/>
    </row>
    <row r="94" spans="15:15" x14ac:dyDescent="0.2">
      <c r="O94" s="57"/>
    </row>
    <row r="95" spans="15:15" x14ac:dyDescent="0.2">
      <c r="O95" s="57"/>
    </row>
    <row r="96" spans="15:15" x14ac:dyDescent="0.2">
      <c r="O96" s="57"/>
    </row>
    <row r="97" spans="15:15" x14ac:dyDescent="0.2">
      <c r="O97" s="57"/>
    </row>
    <row r="98" spans="15:15" x14ac:dyDescent="0.2">
      <c r="O98" s="60"/>
    </row>
    <row r="99" spans="15:15" x14ac:dyDescent="0.2">
      <c r="O99" s="61"/>
    </row>
    <row r="100" spans="15:15" x14ac:dyDescent="0.2">
      <c r="O100" s="62"/>
    </row>
    <row r="101" spans="15:15" x14ac:dyDescent="0.2">
      <c r="O101" s="55"/>
    </row>
    <row r="102" spans="15:15" x14ac:dyDescent="0.2">
      <c r="O102" s="55"/>
    </row>
    <row r="103" spans="15:15" x14ac:dyDescent="0.2">
      <c r="O103" s="55"/>
    </row>
    <row r="104" spans="15:15" x14ac:dyDescent="0.2">
      <c r="O104" s="55"/>
    </row>
    <row r="105" spans="15:15" x14ac:dyDescent="0.2">
      <c r="O105" s="55"/>
    </row>
    <row r="106" spans="15:15" x14ac:dyDescent="0.2">
      <c r="O106" s="55"/>
    </row>
    <row r="107" spans="15:15" x14ac:dyDescent="0.2">
      <c r="O107" s="55"/>
    </row>
    <row r="108" spans="15:15" x14ac:dyDescent="0.2">
      <c r="O108" s="55"/>
    </row>
    <row r="109" spans="15:15" x14ac:dyDescent="0.2">
      <c r="O109" s="55"/>
    </row>
    <row r="110" spans="15:15" x14ac:dyDescent="0.2">
      <c r="O110" s="55"/>
    </row>
    <row r="111" spans="15:15" x14ac:dyDescent="0.2">
      <c r="O111" s="55"/>
    </row>
    <row r="112" spans="15:15" x14ac:dyDescent="0.2">
      <c r="O112" s="55"/>
    </row>
    <row r="113" spans="15:15" x14ac:dyDescent="0.2">
      <c r="O113" s="55"/>
    </row>
    <row r="114" spans="15:15" x14ac:dyDescent="0.2">
      <c r="O114" s="55"/>
    </row>
    <row r="115" spans="15:15" x14ac:dyDescent="0.2">
      <c r="O115" s="55"/>
    </row>
    <row r="116" spans="15:15" x14ac:dyDescent="0.2">
      <c r="O116" s="55"/>
    </row>
    <row r="117" spans="15:15" x14ac:dyDescent="0.2">
      <c r="O117" s="55"/>
    </row>
    <row r="118" spans="15:15" x14ac:dyDescent="0.2">
      <c r="O118" s="55"/>
    </row>
    <row r="119" spans="15:15" x14ac:dyDescent="0.2">
      <c r="O119" s="55"/>
    </row>
    <row r="120" spans="15:15" x14ac:dyDescent="0.2">
      <c r="O120" s="55"/>
    </row>
    <row r="121" spans="15:15" x14ac:dyDescent="0.2">
      <c r="O121" s="55"/>
    </row>
    <row r="122" spans="15:15" x14ac:dyDescent="0.2">
      <c r="O122" s="55"/>
    </row>
    <row r="123" spans="15:15" x14ac:dyDescent="0.2">
      <c r="O123" s="55"/>
    </row>
    <row r="124" spans="15:15" x14ac:dyDescent="0.2">
      <c r="O124" s="55"/>
    </row>
    <row r="125" spans="15:15" x14ac:dyDescent="0.2">
      <c r="O125" s="55"/>
    </row>
    <row r="126" spans="15:15" x14ac:dyDescent="0.2">
      <c r="O126" s="55"/>
    </row>
    <row r="127" spans="15:15" x14ac:dyDescent="0.2">
      <c r="O127" s="55"/>
    </row>
    <row r="128" spans="15:15" x14ac:dyDescent="0.2">
      <c r="O128" s="55"/>
    </row>
    <row r="129" spans="15:15" x14ac:dyDescent="0.2">
      <c r="O129" s="55"/>
    </row>
    <row r="130" spans="15:15" x14ac:dyDescent="0.2">
      <c r="O130" s="55"/>
    </row>
    <row r="131" spans="15:15" x14ac:dyDescent="0.2">
      <c r="O131" s="55"/>
    </row>
    <row r="132" spans="15:15" x14ac:dyDescent="0.2">
      <c r="O132" s="55"/>
    </row>
    <row r="133" spans="15:15" x14ac:dyDescent="0.2">
      <c r="O133" s="55"/>
    </row>
    <row r="134" spans="15:15" x14ac:dyDescent="0.2">
      <c r="O134" s="55"/>
    </row>
    <row r="135" spans="15:15" x14ac:dyDescent="0.2">
      <c r="O135" s="55"/>
    </row>
    <row r="136" spans="15:15" x14ac:dyDescent="0.2">
      <c r="O136" s="55"/>
    </row>
    <row r="137" spans="15:15" x14ac:dyDescent="0.2">
      <c r="O137" s="55"/>
    </row>
    <row r="138" spans="15:15" x14ac:dyDescent="0.2">
      <c r="O138" s="55"/>
    </row>
    <row r="139" spans="15:15" x14ac:dyDescent="0.2">
      <c r="O139" s="55"/>
    </row>
    <row r="140" spans="15:15" x14ac:dyDescent="0.2">
      <c r="O140" s="55"/>
    </row>
    <row r="141" spans="15:15" x14ac:dyDescent="0.2">
      <c r="O141" s="55"/>
    </row>
    <row r="142" spans="15:15" x14ac:dyDescent="0.2">
      <c r="O142" s="55"/>
    </row>
    <row r="143" spans="15:15" x14ac:dyDescent="0.2">
      <c r="O143" s="55"/>
    </row>
    <row r="144" spans="15:15" x14ac:dyDescent="0.2">
      <c r="O144" s="55"/>
    </row>
    <row r="145" spans="15:15" x14ac:dyDescent="0.2">
      <c r="O145" s="55"/>
    </row>
    <row r="146" spans="15:15" x14ac:dyDescent="0.2">
      <c r="O146" s="55"/>
    </row>
    <row r="147" spans="15:15" x14ac:dyDescent="0.2">
      <c r="O147" s="55"/>
    </row>
    <row r="148" spans="15:15" x14ac:dyDescent="0.2">
      <c r="O148" s="55"/>
    </row>
    <row r="149" spans="15:15" x14ac:dyDescent="0.2">
      <c r="O149" s="55"/>
    </row>
    <row r="150" spans="15:15" x14ac:dyDescent="0.2">
      <c r="O150" s="55"/>
    </row>
    <row r="151" spans="15:15" x14ac:dyDescent="0.2">
      <c r="O151" s="55"/>
    </row>
    <row r="152" spans="15:15" x14ac:dyDescent="0.2">
      <c r="O152" s="55"/>
    </row>
    <row r="153" spans="15:15" x14ac:dyDescent="0.2">
      <c r="O153" s="55"/>
    </row>
    <row r="154" spans="15:15" x14ac:dyDescent="0.2">
      <c r="O154" s="55"/>
    </row>
    <row r="155" spans="15:15" x14ac:dyDescent="0.2">
      <c r="O155" s="55"/>
    </row>
    <row r="156" spans="15:15" x14ac:dyDescent="0.2">
      <c r="O156" s="55"/>
    </row>
    <row r="157" spans="15:15" x14ac:dyDescent="0.2">
      <c r="O157" s="55"/>
    </row>
    <row r="158" spans="15:15" x14ac:dyDescent="0.2">
      <c r="O158" s="55"/>
    </row>
    <row r="159" spans="15:15" x14ac:dyDescent="0.2">
      <c r="O159" s="55"/>
    </row>
    <row r="160" spans="15:15" x14ac:dyDescent="0.2">
      <c r="O160" s="55"/>
    </row>
    <row r="161" spans="15:15" x14ac:dyDescent="0.2">
      <c r="O161" s="55"/>
    </row>
    <row r="162" spans="15:15" x14ac:dyDescent="0.2">
      <c r="O162" s="55"/>
    </row>
    <row r="163" spans="15:15" x14ac:dyDescent="0.2">
      <c r="O163" s="55"/>
    </row>
    <row r="164" spans="15:15" x14ac:dyDescent="0.2">
      <c r="O164" s="55"/>
    </row>
    <row r="165" spans="15:15" x14ac:dyDescent="0.2">
      <c r="O165" s="55"/>
    </row>
    <row r="166" spans="15:15" x14ac:dyDescent="0.2">
      <c r="O166" s="55"/>
    </row>
    <row r="167" spans="15:15" x14ac:dyDescent="0.2">
      <c r="O167" s="55"/>
    </row>
    <row r="168" spans="15:15" x14ac:dyDescent="0.2">
      <c r="O168" s="55"/>
    </row>
    <row r="169" spans="15:15" x14ac:dyDescent="0.2">
      <c r="O169" s="55"/>
    </row>
    <row r="170" spans="15:15" x14ac:dyDescent="0.2">
      <c r="O170" s="55"/>
    </row>
    <row r="171" spans="15:15" x14ac:dyDescent="0.2">
      <c r="O171" s="55"/>
    </row>
    <row r="172" spans="15:15" x14ac:dyDescent="0.2">
      <c r="O172" s="55"/>
    </row>
    <row r="173" spans="15:15" x14ac:dyDescent="0.2">
      <c r="O173" s="55"/>
    </row>
    <row r="174" spans="15:15" x14ac:dyDescent="0.2">
      <c r="O174" s="55"/>
    </row>
    <row r="175" spans="15:15" x14ac:dyDescent="0.2">
      <c r="O175" s="55"/>
    </row>
    <row r="176" spans="15:15" x14ac:dyDescent="0.2">
      <c r="O176" s="55"/>
    </row>
    <row r="177" spans="15:15" x14ac:dyDescent="0.2">
      <c r="O177" s="55"/>
    </row>
    <row r="178" spans="15:15" x14ac:dyDescent="0.2">
      <c r="O178" s="55"/>
    </row>
    <row r="179" spans="15:15" x14ac:dyDescent="0.2">
      <c r="O179" s="55"/>
    </row>
    <row r="180" spans="15:15" x14ac:dyDescent="0.2">
      <c r="O180" s="55"/>
    </row>
    <row r="181" spans="15:15" x14ac:dyDescent="0.2">
      <c r="O181" s="55"/>
    </row>
    <row r="182" spans="15:15" x14ac:dyDescent="0.2">
      <c r="O182" s="55"/>
    </row>
    <row r="183" spans="15:15" x14ac:dyDescent="0.2">
      <c r="O183" s="55"/>
    </row>
    <row r="184" spans="15:15" x14ac:dyDescent="0.2">
      <c r="O184" s="55"/>
    </row>
    <row r="185" spans="15:15" x14ac:dyDescent="0.2">
      <c r="O185" s="55"/>
    </row>
    <row r="186" spans="15:15" x14ac:dyDescent="0.2">
      <c r="O186" s="55"/>
    </row>
    <row r="187" spans="15:15" x14ac:dyDescent="0.2">
      <c r="O187" s="55"/>
    </row>
    <row r="188" spans="15:15" x14ac:dyDescent="0.2">
      <c r="O188" s="55"/>
    </row>
    <row r="189" spans="15:15" x14ac:dyDescent="0.2">
      <c r="O189" s="55"/>
    </row>
    <row r="190" spans="15:15" x14ac:dyDescent="0.2">
      <c r="O190" s="55"/>
    </row>
    <row r="191" spans="15:15" x14ac:dyDescent="0.2">
      <c r="O191" s="55"/>
    </row>
    <row r="192" spans="15:15" x14ac:dyDescent="0.2">
      <c r="O192" s="55"/>
    </row>
    <row r="193" spans="15:15" x14ac:dyDescent="0.2">
      <c r="O193" s="55"/>
    </row>
    <row r="194" spans="15:15" x14ac:dyDescent="0.2">
      <c r="O194" s="55"/>
    </row>
    <row r="195" spans="15:15" x14ac:dyDescent="0.2">
      <c r="O195" s="55"/>
    </row>
    <row r="196" spans="15:15" x14ac:dyDescent="0.2">
      <c r="O196" s="55"/>
    </row>
    <row r="197" spans="15:15" x14ac:dyDescent="0.2">
      <c r="O197" s="55"/>
    </row>
    <row r="198" spans="15:15" x14ac:dyDescent="0.2">
      <c r="O198" s="55"/>
    </row>
    <row r="199" spans="15:15" x14ac:dyDescent="0.2">
      <c r="O199" s="55"/>
    </row>
    <row r="200" spans="15:15" x14ac:dyDescent="0.2">
      <c r="O200" s="55"/>
    </row>
    <row r="201" spans="15:15" x14ac:dyDescent="0.2">
      <c r="O201" s="55"/>
    </row>
    <row r="202" spans="15:15" x14ac:dyDescent="0.2">
      <c r="O202" s="55"/>
    </row>
    <row r="203" spans="15:15" x14ac:dyDescent="0.2">
      <c r="O203" s="55"/>
    </row>
    <row r="204" spans="15:15" x14ac:dyDescent="0.2">
      <c r="O204" s="55"/>
    </row>
    <row r="205" spans="15:15" x14ac:dyDescent="0.2">
      <c r="O205" s="55"/>
    </row>
    <row r="206" spans="15:15" x14ac:dyDescent="0.2">
      <c r="O206" s="55"/>
    </row>
    <row r="207" spans="15:15" x14ac:dyDescent="0.2">
      <c r="O207" s="55"/>
    </row>
    <row r="208" spans="15:15" x14ac:dyDescent="0.2">
      <c r="O208" s="55"/>
    </row>
    <row r="209" spans="15:15" x14ac:dyDescent="0.2">
      <c r="O209" s="55"/>
    </row>
    <row r="210" spans="15:15" x14ac:dyDescent="0.2">
      <c r="O210" s="55"/>
    </row>
    <row r="211" spans="15:15" x14ac:dyDescent="0.2">
      <c r="O211" s="55"/>
    </row>
    <row r="212" spans="15:15" x14ac:dyDescent="0.2">
      <c r="O212" s="55"/>
    </row>
    <row r="213" spans="15:15" x14ac:dyDescent="0.2">
      <c r="O213" s="55"/>
    </row>
    <row r="214" spans="15:15" x14ac:dyDescent="0.2">
      <c r="O214" s="55"/>
    </row>
    <row r="215" spans="15:15" x14ac:dyDescent="0.2">
      <c r="O215" s="55"/>
    </row>
    <row r="216" spans="15:15" x14ac:dyDescent="0.2">
      <c r="O216" s="55"/>
    </row>
    <row r="217" spans="15:15" x14ac:dyDescent="0.2">
      <c r="O217" s="55"/>
    </row>
    <row r="218" spans="15:15" x14ac:dyDescent="0.2">
      <c r="O218" s="55"/>
    </row>
    <row r="219" spans="15:15" x14ac:dyDescent="0.2">
      <c r="O219" s="55"/>
    </row>
    <row r="220" spans="15:15" x14ac:dyDescent="0.2">
      <c r="O220" s="55"/>
    </row>
    <row r="221" spans="15:15" x14ac:dyDescent="0.2">
      <c r="O221" s="55"/>
    </row>
    <row r="222" spans="15:15" x14ac:dyDescent="0.2">
      <c r="O222" s="55"/>
    </row>
    <row r="223" spans="15:15" x14ac:dyDescent="0.2">
      <c r="O223" s="55"/>
    </row>
    <row r="224" spans="15:15" x14ac:dyDescent="0.2">
      <c r="O224" s="55"/>
    </row>
    <row r="225" spans="15:15" x14ac:dyDescent="0.2">
      <c r="O225" s="55"/>
    </row>
    <row r="226" spans="15:15" x14ac:dyDescent="0.2">
      <c r="O226" s="55"/>
    </row>
    <row r="227" spans="15:15" x14ac:dyDescent="0.2">
      <c r="O227" s="55"/>
    </row>
    <row r="228" spans="15:15" x14ac:dyDescent="0.2">
      <c r="O228" s="55"/>
    </row>
    <row r="229" spans="15:15" x14ac:dyDescent="0.2">
      <c r="O229" s="55"/>
    </row>
    <row r="230" spans="15:15" x14ac:dyDescent="0.2">
      <c r="O230" s="55"/>
    </row>
    <row r="231" spans="15:15" x14ac:dyDescent="0.2">
      <c r="O231" s="55"/>
    </row>
    <row r="232" spans="15:15" x14ac:dyDescent="0.2">
      <c r="O232" s="55"/>
    </row>
    <row r="233" spans="15:15" x14ac:dyDescent="0.2">
      <c r="O233" s="55"/>
    </row>
    <row r="234" spans="15:15" x14ac:dyDescent="0.2">
      <c r="O234" s="55"/>
    </row>
    <row r="235" spans="15:15" x14ac:dyDescent="0.2">
      <c r="O235" s="55"/>
    </row>
    <row r="236" spans="15:15" x14ac:dyDescent="0.2">
      <c r="O236" s="55"/>
    </row>
    <row r="237" spans="15:15" x14ac:dyDescent="0.2">
      <c r="O237" s="55"/>
    </row>
    <row r="238" spans="15:15" x14ac:dyDescent="0.2">
      <c r="O238" s="55"/>
    </row>
    <row r="239" spans="15:15" x14ac:dyDescent="0.2">
      <c r="O239" s="55"/>
    </row>
    <row r="240" spans="15:15" x14ac:dyDescent="0.2">
      <c r="O240" s="55"/>
    </row>
    <row r="241" spans="15:15" x14ac:dyDescent="0.2">
      <c r="O241" s="55"/>
    </row>
    <row r="242" spans="15:15" x14ac:dyDescent="0.2">
      <c r="O242" s="55"/>
    </row>
    <row r="243" spans="15:15" x14ac:dyDescent="0.2">
      <c r="O243" s="55"/>
    </row>
    <row r="244" spans="15:15" x14ac:dyDescent="0.2">
      <c r="O244" s="55"/>
    </row>
    <row r="245" spans="15:15" x14ac:dyDescent="0.2">
      <c r="O245" s="55"/>
    </row>
    <row r="246" spans="15:15" x14ac:dyDescent="0.2">
      <c r="O246" s="55"/>
    </row>
    <row r="247" spans="15:15" x14ac:dyDescent="0.2">
      <c r="O247" s="55"/>
    </row>
    <row r="248" spans="15:15" x14ac:dyDescent="0.2">
      <c r="O248" s="55"/>
    </row>
    <row r="249" spans="15:15" x14ac:dyDescent="0.2">
      <c r="O249" s="55"/>
    </row>
    <row r="250" spans="15:15" x14ac:dyDescent="0.2">
      <c r="O250" s="55"/>
    </row>
    <row r="251" spans="15:15" x14ac:dyDescent="0.2">
      <c r="O251" s="55"/>
    </row>
    <row r="252" spans="15:15" x14ac:dyDescent="0.2">
      <c r="O252" s="55"/>
    </row>
    <row r="253" spans="15:15" x14ac:dyDescent="0.2">
      <c r="O253" s="55"/>
    </row>
    <row r="254" spans="15:15" x14ac:dyDescent="0.2">
      <c r="O254" s="55"/>
    </row>
    <row r="255" spans="15:15" x14ac:dyDescent="0.2">
      <c r="O255" s="55"/>
    </row>
    <row r="256" spans="15:15" x14ac:dyDescent="0.2">
      <c r="O256" s="55"/>
    </row>
    <row r="257" spans="15:15" x14ac:dyDescent="0.2">
      <c r="O257" s="55"/>
    </row>
    <row r="258" spans="15:15" x14ac:dyDescent="0.2">
      <c r="O258" s="55"/>
    </row>
    <row r="259" spans="15:15" x14ac:dyDescent="0.2">
      <c r="O259" s="55"/>
    </row>
    <row r="260" spans="15:15" x14ac:dyDescent="0.2">
      <c r="O260" s="55"/>
    </row>
    <row r="261" spans="15:15" x14ac:dyDescent="0.2">
      <c r="O261" s="55"/>
    </row>
    <row r="262" spans="15:15" x14ac:dyDescent="0.2">
      <c r="O262" s="55"/>
    </row>
    <row r="263" spans="15:15" x14ac:dyDescent="0.2">
      <c r="O263" s="55"/>
    </row>
    <row r="264" spans="15:15" x14ac:dyDescent="0.2">
      <c r="O264" s="55"/>
    </row>
    <row r="265" spans="15:15" x14ac:dyDescent="0.2">
      <c r="O265" s="55"/>
    </row>
    <row r="266" spans="15:15" x14ac:dyDescent="0.2">
      <c r="O266" s="55"/>
    </row>
    <row r="267" spans="15:15" x14ac:dyDescent="0.2">
      <c r="O267" s="55"/>
    </row>
    <row r="268" spans="15:15" x14ac:dyDescent="0.2">
      <c r="O268" s="55"/>
    </row>
    <row r="269" spans="15:15" x14ac:dyDescent="0.2">
      <c r="O269" s="55"/>
    </row>
    <row r="270" spans="15:15" x14ac:dyDescent="0.2">
      <c r="O270" s="55"/>
    </row>
    <row r="271" spans="15:15" x14ac:dyDescent="0.2">
      <c r="O271" s="55"/>
    </row>
    <row r="272" spans="15:15" x14ac:dyDescent="0.2">
      <c r="O272" s="55"/>
    </row>
    <row r="273" spans="15:15" x14ac:dyDescent="0.2">
      <c r="O273" s="55"/>
    </row>
    <row r="274" spans="15:15" x14ac:dyDescent="0.2">
      <c r="O274" s="55"/>
    </row>
    <row r="275" spans="15:15" x14ac:dyDescent="0.2">
      <c r="O275" s="55"/>
    </row>
    <row r="276" spans="15:15" x14ac:dyDescent="0.2">
      <c r="O276" s="55"/>
    </row>
    <row r="277" spans="15:15" x14ac:dyDescent="0.2">
      <c r="O277" s="55"/>
    </row>
    <row r="278" spans="15:15" x14ac:dyDescent="0.2">
      <c r="O278" s="55"/>
    </row>
    <row r="279" spans="15:15" x14ac:dyDescent="0.2">
      <c r="O279" s="55"/>
    </row>
    <row r="280" spans="15:15" x14ac:dyDescent="0.2">
      <c r="O280" s="55"/>
    </row>
    <row r="281" spans="15:15" x14ac:dyDescent="0.2">
      <c r="O281" s="55"/>
    </row>
    <row r="282" spans="15:15" x14ac:dyDescent="0.2">
      <c r="O282" s="55"/>
    </row>
    <row r="283" spans="15:15" x14ac:dyDescent="0.2">
      <c r="O283" s="55"/>
    </row>
    <row r="284" spans="15:15" x14ac:dyDescent="0.2">
      <c r="O284" s="55"/>
    </row>
    <row r="285" spans="15:15" x14ac:dyDescent="0.2">
      <c r="O285" s="55"/>
    </row>
    <row r="286" spans="15:15" x14ac:dyDescent="0.2">
      <c r="O286" s="55"/>
    </row>
    <row r="287" spans="15:15" x14ac:dyDescent="0.2">
      <c r="O287" s="55"/>
    </row>
    <row r="288" spans="15:15" x14ac:dyDescent="0.2">
      <c r="O288" s="55"/>
    </row>
    <row r="289" spans="15:15" x14ac:dyDescent="0.2">
      <c r="O289" s="55"/>
    </row>
    <row r="290" spans="15:15" x14ac:dyDescent="0.2">
      <c r="O290" s="55"/>
    </row>
    <row r="291" spans="15:15" x14ac:dyDescent="0.2">
      <c r="O291" s="55"/>
    </row>
    <row r="292" spans="15:15" x14ac:dyDescent="0.2">
      <c r="O292" s="55"/>
    </row>
    <row r="293" spans="15:15" x14ac:dyDescent="0.2">
      <c r="O293" s="55"/>
    </row>
    <row r="294" spans="15:15" x14ac:dyDescent="0.2">
      <c r="O294" s="55"/>
    </row>
    <row r="295" spans="15:15" x14ac:dyDescent="0.2">
      <c r="O295" s="55"/>
    </row>
    <row r="296" spans="15:15" x14ac:dyDescent="0.2">
      <c r="O296" s="55"/>
    </row>
    <row r="297" spans="15:15" x14ac:dyDescent="0.2">
      <c r="O297" s="55"/>
    </row>
    <row r="298" spans="15:15" x14ac:dyDescent="0.2">
      <c r="O298" s="55"/>
    </row>
    <row r="299" spans="15:15" x14ac:dyDescent="0.2">
      <c r="O299" s="55"/>
    </row>
    <row r="300" spans="15:15" x14ac:dyDescent="0.2">
      <c r="O300" s="55"/>
    </row>
    <row r="301" spans="15:15" x14ac:dyDescent="0.2">
      <c r="O301" s="55"/>
    </row>
    <row r="302" spans="15:15" x14ac:dyDescent="0.2">
      <c r="O302" s="55"/>
    </row>
    <row r="303" spans="15:15" x14ac:dyDescent="0.2">
      <c r="O303" s="55"/>
    </row>
    <row r="304" spans="15:15" x14ac:dyDescent="0.2">
      <c r="O304" s="55"/>
    </row>
    <row r="305" spans="15:15" x14ac:dyDescent="0.2">
      <c r="O305" s="55"/>
    </row>
    <row r="306" spans="15:15" x14ac:dyDescent="0.2">
      <c r="O306" s="55"/>
    </row>
    <row r="307" spans="15:15" x14ac:dyDescent="0.2">
      <c r="O307" s="55"/>
    </row>
    <row r="308" spans="15:15" x14ac:dyDescent="0.2">
      <c r="O308" s="55"/>
    </row>
    <row r="309" spans="15:15" x14ac:dyDescent="0.2">
      <c r="O309" s="55"/>
    </row>
    <row r="310" spans="15:15" x14ac:dyDescent="0.2">
      <c r="O310" s="55"/>
    </row>
    <row r="311" spans="15:15" x14ac:dyDescent="0.2">
      <c r="O311" s="55"/>
    </row>
    <row r="312" spans="15:15" x14ac:dyDescent="0.2">
      <c r="O312" s="55"/>
    </row>
    <row r="313" spans="15:15" x14ac:dyDescent="0.2">
      <c r="O313" s="55"/>
    </row>
    <row r="314" spans="15:15" x14ac:dyDescent="0.2">
      <c r="O314" s="55"/>
    </row>
    <row r="315" spans="15:15" x14ac:dyDescent="0.2">
      <c r="O315" s="55"/>
    </row>
    <row r="316" spans="15:15" x14ac:dyDescent="0.2">
      <c r="O316" s="55"/>
    </row>
    <row r="317" spans="15:15" x14ac:dyDescent="0.2">
      <c r="O317" s="55"/>
    </row>
    <row r="318" spans="15:15" x14ac:dyDescent="0.2">
      <c r="O318" s="55"/>
    </row>
    <row r="319" spans="15:15" x14ac:dyDescent="0.2">
      <c r="O319" s="55"/>
    </row>
    <row r="320" spans="15:15" x14ac:dyDescent="0.2">
      <c r="O320" s="55"/>
    </row>
  </sheetData>
  <mergeCells count="1">
    <mergeCell ref="Q6:R6"/>
  </mergeCells>
  <phoneticPr fontId="0" type="noConversion"/>
  <pageMargins left="1" right="0.25" top="0.75" bottom="0.49" header="0.5" footer="0.2"/>
  <pageSetup scale="80" orientation="portrait" r:id="rId1"/>
  <headerFooter alignWithMargins="0">
    <oddFooter>&amp;C&amp;12Services&amp;R&amp;12Exhibit 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2:D11"/>
  <sheetViews>
    <sheetView workbookViewId="0">
      <selection activeCell="D4" sqref="D4"/>
    </sheetView>
  </sheetViews>
  <sheetFormatPr defaultRowHeight="15" x14ac:dyDescent="0.25"/>
  <cols>
    <col min="4" max="4" width="16.42578125" bestFit="1" customWidth="1"/>
  </cols>
  <sheetData>
    <row r="2" spans="1:4" x14ac:dyDescent="0.25">
      <c r="A2" s="4" t="s">
        <v>1056</v>
      </c>
    </row>
    <row r="3" spans="1:4" x14ac:dyDescent="0.25">
      <c r="A3" t="s">
        <v>1049</v>
      </c>
      <c r="D3" s="26">
        <f>'Allocation ProForma'!P1119+'Allocation ProForma'!Q1119+'Allocation ProForma'!R1119</f>
        <v>124434325</v>
      </c>
    </row>
    <row r="5" spans="1:4" x14ac:dyDescent="0.25">
      <c r="A5" t="s">
        <v>1050</v>
      </c>
      <c r="D5" s="26">
        <f>'Allocation ProForma'!G1119</f>
        <v>5944626245</v>
      </c>
    </row>
    <row r="6" spans="1:4" x14ac:dyDescent="0.25">
      <c r="A6" t="s">
        <v>1051</v>
      </c>
      <c r="D6" s="29">
        <f>'Allocation ProForma'!G1126</f>
        <v>420348</v>
      </c>
    </row>
    <row r="7" spans="1:4" x14ac:dyDescent="0.25">
      <c r="A7" t="s">
        <v>1052</v>
      </c>
      <c r="D7" s="28">
        <f>D5/D6</f>
        <v>14142.15422697384</v>
      </c>
    </row>
    <row r="9" spans="1:4" x14ac:dyDescent="0.25">
      <c r="A9" t="s">
        <v>1053</v>
      </c>
      <c r="D9" s="28">
        <f>D3/D7</f>
        <v>8798.8239275924407</v>
      </c>
    </row>
    <row r="10" spans="1:4" x14ac:dyDescent="0.25">
      <c r="A10" t="s">
        <v>1054</v>
      </c>
      <c r="D10" s="29">
        <f>'Allocation ProForma'!O1127</f>
        <v>1</v>
      </c>
    </row>
    <row r="11" spans="1:4" x14ac:dyDescent="0.25">
      <c r="A11" t="s">
        <v>1055</v>
      </c>
      <c r="D11" s="28">
        <f>ROUND(D10/D9,0)</f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3:H9"/>
  <sheetViews>
    <sheetView workbookViewId="0">
      <selection activeCell="H39" sqref="H39"/>
    </sheetView>
  </sheetViews>
  <sheetFormatPr defaultRowHeight="15" x14ac:dyDescent="0.25"/>
  <cols>
    <col min="8" max="8" width="15" bestFit="1" customWidth="1"/>
  </cols>
  <sheetData>
    <row r="3" spans="1:8" x14ac:dyDescent="0.25">
      <c r="A3" t="s">
        <v>1058</v>
      </c>
      <c r="H3" s="27">
        <f>'Functional Assignment'!F281</f>
        <v>4654897.4312407095</v>
      </c>
    </row>
    <row r="4" spans="1:8" x14ac:dyDescent="0.25">
      <c r="H4" s="27"/>
    </row>
    <row r="5" spans="1:8" x14ac:dyDescent="0.25">
      <c r="A5" t="s">
        <v>1059</v>
      </c>
      <c r="H5" s="27">
        <f>'Functional Assignment'!F286</f>
        <v>26615471.857769586</v>
      </c>
    </row>
    <row r="7" spans="1:8" x14ac:dyDescent="0.25">
      <c r="A7" t="s">
        <v>1060</v>
      </c>
      <c r="H7">
        <f>ROUND(H3/H5,2)</f>
        <v>0.17</v>
      </c>
    </row>
    <row r="9" spans="1:8" x14ac:dyDescent="0.25">
      <c r="A9" t="s">
        <v>938</v>
      </c>
      <c r="H9">
        <f>1-H7</f>
        <v>0.83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AM666"/>
  <sheetViews>
    <sheetView view="pageBreakPreview" zoomScale="60" zoomScaleNormal="100" workbookViewId="0">
      <pane xSplit="6" ySplit="3" topLeftCell="G130" activePane="bottomRight" state="frozen"/>
      <selection pane="topRight" activeCell="G1" sqref="G1"/>
      <selection pane="bottomLeft" activeCell="A4" sqref="A4"/>
      <selection pane="bottomRight" activeCell="O146" sqref="O146"/>
    </sheetView>
  </sheetViews>
  <sheetFormatPr defaultRowHeight="15" x14ac:dyDescent="0.25"/>
  <cols>
    <col min="1" max="1" width="7.7109375" style="94" customWidth="1"/>
    <col min="2" max="2" width="55.85546875" style="94" customWidth="1"/>
    <col min="3" max="3" width="12.85546875" style="94" customWidth="1"/>
    <col min="4" max="4" width="14.85546875" style="94" customWidth="1"/>
    <col min="5" max="5" width="2.7109375" style="94" customWidth="1"/>
    <col min="6" max="6" width="17.5703125" style="94" customWidth="1"/>
    <col min="7" max="7" width="2.140625" style="94" customWidth="1"/>
    <col min="8" max="8" width="20.42578125" style="94" bestFit="1" customWidth="1"/>
    <col min="9" max="9" width="19" style="94" bestFit="1" customWidth="1"/>
    <col min="10" max="11" width="18" style="94" customWidth="1"/>
    <col min="12" max="12" width="21.85546875" style="94" customWidth="1"/>
    <col min="13" max="13" width="22.28515625" style="94" customWidth="1"/>
    <col min="14" max="14" width="2.7109375" style="94" customWidth="1"/>
    <col min="15" max="15" width="18.7109375" style="94" bestFit="1" customWidth="1"/>
    <col min="16" max="17" width="18.7109375" style="94" customWidth="1"/>
    <col min="18" max="18" width="2.7109375" style="94" customWidth="1"/>
    <col min="19" max="20" width="17.5703125" style="94" customWidth="1"/>
    <col min="21" max="21" width="16.28515625" style="94" customWidth="1"/>
    <col min="22" max="22" width="15.5703125" style="94" bestFit="1" customWidth="1"/>
    <col min="23" max="23" width="16.28515625" style="94" customWidth="1"/>
    <col min="24" max="24" width="16.7109375" style="94" customWidth="1"/>
    <col min="25" max="25" width="16.7109375" style="92" customWidth="1"/>
    <col min="26" max="27" width="16.85546875" style="94" customWidth="1"/>
    <col min="28" max="30" width="17.5703125" style="94" customWidth="1"/>
    <col min="31" max="31" width="1.85546875" style="94" customWidth="1"/>
    <col min="32" max="32" width="17.85546875" style="94" customWidth="1"/>
    <col min="33" max="33" width="1.85546875" style="94" customWidth="1"/>
    <col min="34" max="34" width="15" style="94" customWidth="1"/>
    <col min="35" max="35" width="1.85546875" style="94" customWidth="1"/>
    <col min="36" max="36" width="18.28515625" style="94" bestFit="1" customWidth="1"/>
    <col min="37" max="37" width="18.28515625" style="94" customWidth="1"/>
    <col min="38" max="38" width="14.7109375" style="94" customWidth="1"/>
    <col min="39" max="39" width="14.140625" style="94" customWidth="1"/>
    <col min="40" max="16384" width="9.140625" style="94"/>
  </cols>
  <sheetData>
    <row r="1" spans="1:38" ht="15.75" thickBot="1" x14ac:dyDescent="0.3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</row>
    <row r="2" spans="1:38" ht="48" customHeight="1" thickBot="1" x14ac:dyDescent="0.3">
      <c r="A2" s="16"/>
      <c r="B2" s="16"/>
      <c r="C2" s="35"/>
      <c r="D2" s="7" t="s">
        <v>81</v>
      </c>
      <c r="E2" s="35"/>
      <c r="F2" s="35" t="s">
        <v>82</v>
      </c>
      <c r="G2" s="35"/>
      <c r="H2" s="507" t="s">
        <v>2082</v>
      </c>
      <c r="I2" s="508"/>
      <c r="J2" s="509"/>
      <c r="K2" s="507" t="s">
        <v>2083</v>
      </c>
      <c r="L2" s="508"/>
      <c r="M2" s="509"/>
      <c r="N2" s="83"/>
      <c r="O2" s="507" t="s">
        <v>1224</v>
      </c>
      <c r="P2" s="510"/>
      <c r="Q2" s="509"/>
      <c r="R2" s="84"/>
      <c r="S2" s="85" t="s">
        <v>2087</v>
      </c>
      <c r="T2" s="85" t="s">
        <v>2088</v>
      </c>
      <c r="U2" s="507" t="s">
        <v>150</v>
      </c>
      <c r="V2" s="508"/>
      <c r="W2" s="509"/>
      <c r="X2" s="505" t="s">
        <v>149</v>
      </c>
      <c r="Y2" s="506"/>
      <c r="Z2" s="505" t="s">
        <v>151</v>
      </c>
      <c r="AA2" s="506"/>
      <c r="AB2" s="85" t="s">
        <v>148</v>
      </c>
      <c r="AC2" s="85" t="s">
        <v>147</v>
      </c>
      <c r="AD2" s="85" t="s">
        <v>2091</v>
      </c>
      <c r="AE2" s="86"/>
      <c r="AF2" s="85" t="s">
        <v>381</v>
      </c>
      <c r="AG2" s="22"/>
      <c r="AH2" s="85" t="s">
        <v>2090</v>
      </c>
      <c r="AI2" s="22"/>
      <c r="AJ2" s="85" t="s">
        <v>2089</v>
      </c>
      <c r="AK2" s="16"/>
      <c r="AL2" s="16"/>
    </row>
    <row r="3" spans="1:38" ht="15.75" thickBot="1" x14ac:dyDescent="0.3">
      <c r="A3" s="23" t="s">
        <v>119</v>
      </c>
      <c r="B3" s="23"/>
      <c r="C3" s="25" t="s">
        <v>120</v>
      </c>
      <c r="D3" s="25" t="s">
        <v>121</v>
      </c>
      <c r="E3" s="14"/>
      <c r="F3" s="14" t="s">
        <v>122</v>
      </c>
      <c r="G3" s="87"/>
      <c r="H3" s="14" t="s">
        <v>1151</v>
      </c>
      <c r="I3" s="14" t="s">
        <v>2084</v>
      </c>
      <c r="J3" s="14" t="s">
        <v>2085</v>
      </c>
      <c r="K3" s="14" t="s">
        <v>1151</v>
      </c>
      <c r="L3" s="14" t="s">
        <v>2084</v>
      </c>
      <c r="M3" s="14" t="s">
        <v>2085</v>
      </c>
      <c r="N3" s="14"/>
      <c r="O3" s="14" t="s">
        <v>1151</v>
      </c>
      <c r="P3" s="14" t="s">
        <v>1227</v>
      </c>
      <c r="Q3" s="14" t="s">
        <v>1226</v>
      </c>
      <c r="R3" s="14"/>
      <c r="S3" s="14" t="s">
        <v>2086</v>
      </c>
      <c r="T3" s="14" t="s">
        <v>1907</v>
      </c>
      <c r="U3" s="14" t="s">
        <v>2086</v>
      </c>
      <c r="V3" s="14" t="s">
        <v>123</v>
      </c>
      <c r="W3" s="14" t="s">
        <v>125</v>
      </c>
      <c r="X3" s="14" t="s">
        <v>123</v>
      </c>
      <c r="Y3" s="14" t="s">
        <v>125</v>
      </c>
      <c r="Z3" s="14" t="s">
        <v>123</v>
      </c>
      <c r="AA3" s="14" t="s">
        <v>125</v>
      </c>
      <c r="AB3" s="14" t="s">
        <v>125</v>
      </c>
      <c r="AC3" s="14"/>
      <c r="AD3" s="14"/>
      <c r="AE3" s="14"/>
      <c r="AF3" s="14"/>
      <c r="AG3" s="14"/>
      <c r="AH3" s="14"/>
      <c r="AI3" s="14"/>
      <c r="AJ3" s="14"/>
      <c r="AK3" s="14" t="s">
        <v>126</v>
      </c>
      <c r="AL3" s="24" t="s">
        <v>127</v>
      </c>
    </row>
    <row r="4" spans="1:38" x14ac:dyDescent="0.25"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88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L4" s="95"/>
    </row>
    <row r="5" spans="1:38" x14ac:dyDescent="0.25">
      <c r="A5" s="89" t="s">
        <v>128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88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L5" s="95"/>
    </row>
    <row r="6" spans="1:38" x14ac:dyDescent="0.25">
      <c r="AL6" s="95"/>
    </row>
    <row r="7" spans="1:38" x14ac:dyDescent="0.25">
      <c r="A7" s="15" t="s">
        <v>555</v>
      </c>
      <c r="AL7" s="95"/>
    </row>
    <row r="8" spans="1:38" x14ac:dyDescent="0.25">
      <c r="A8" s="96">
        <v>301</v>
      </c>
      <c r="B8" s="94" t="s">
        <v>558</v>
      </c>
      <c r="C8" s="94" t="s">
        <v>559</v>
      </c>
      <c r="D8" s="94" t="s">
        <v>586</v>
      </c>
      <c r="F8" s="97">
        <f>'Jurisdictional Study'!F593</f>
        <v>38707.20384349145</v>
      </c>
      <c r="H8" s="98">
        <f>IF(VLOOKUP($D8,$C$5:$AJ$646,6,)=0,0,((VLOOKUP($D8,$C$5:$AJ$646,6,)/VLOOKUP($D8,$C$5:$AJ$646,4,))*$F8))</f>
        <v>8721.048459745678</v>
      </c>
      <c r="I8" s="98">
        <f>IF(VLOOKUP($D8,$C$5:$AJ$646,7,)=0,0,((VLOOKUP($D8,$C$5:$AJ$646,7,)/VLOOKUP($D8,$C$5:$AJ$646,4,))*$F8))</f>
        <v>8221.1383278368139</v>
      </c>
      <c r="J8" s="98">
        <f>IF(VLOOKUP($D8,$C$5:$AJ$646,8,)=0,0,((VLOOKUP($D8,$C$5:$AJ$646,8,)/VLOOKUP($D8,$C$5:$AJ$646,4,))*$F8))</f>
        <v>8443.1658164854962</v>
      </c>
      <c r="K8" s="98">
        <f>IF(VLOOKUP($D8,$C$5:$AJ$646,9,)=0,0,((VLOOKUP($D8,$C$5:$AJ$646,9,)/VLOOKUP($D8,$C$5:$AJ$646,4,))*$F8))</f>
        <v>0</v>
      </c>
      <c r="L8" s="98">
        <f>IF(VLOOKUP($D8,$C$5:$AJ$646,10,)=0,0,((VLOOKUP($D8,$C$5:$AJ$646,10,)/VLOOKUP($D8,$C$5:$AJ$646,4,))*$F8))</f>
        <v>0</v>
      </c>
      <c r="M8" s="98">
        <f>IF(VLOOKUP($D8,$C$5:$AJ$646,11,)=0,0,((VLOOKUP($D8,$C$5:$AJ$646,11,)/VLOOKUP($D8,$C$5:$AJ$646,4,))*$F8))</f>
        <v>0</v>
      </c>
      <c r="N8" s="98"/>
      <c r="O8" s="98">
        <f>IF(VLOOKUP($D8,$C$5:$AJ$646,13,)=0,0,((VLOOKUP($D8,$C$5:$AJ$646,13,)/VLOOKUP($D8,$C$5:$AJ$646,4,))*$F8))</f>
        <v>1301.9607539274609</v>
      </c>
      <c r="P8" s="98">
        <f>IF(VLOOKUP($D8,$C$5:$AJ$646,14,)=0,0,((VLOOKUP($D8,$C$5:$AJ$646,14,)/VLOOKUP($D8,$C$5:$AJ$646,4,))*$F8))</f>
        <v>1227.3294323334724</v>
      </c>
      <c r="Q8" s="98">
        <f>IF(VLOOKUP($D8,$C$5:$AJ$646,15,)=0,0,((VLOOKUP($D8,$C$5:$AJ$646,15,)/VLOOKUP($D8,$C$5:$AJ$646,4,))*$F8))</f>
        <v>1260.4757997510992</v>
      </c>
      <c r="R8" s="98"/>
      <c r="S8" s="98">
        <f>IF(VLOOKUP($D8,$C$5:$AJ$646,17,)=0,0,((VLOOKUP($D8,$C$5:$AJ$646,17,)/VLOOKUP($D8,$C$5:$AJ$646,4,))*$F8))</f>
        <v>0</v>
      </c>
      <c r="T8" s="98">
        <f>IF(VLOOKUP($D8,$C$5:$AJ$646,18,)=0,0,((VLOOKUP($D8,$C$5:$AJ$646,18,)/VLOOKUP($D8,$C$5:$AJ$646,4,))*$F8))</f>
        <v>1035.4848728314817</v>
      </c>
      <c r="U8" s="98">
        <f>IF(VLOOKUP($D8,$C$5:$AJ$646,19,)=0,0,((VLOOKUP($D8,$C$5:$AJ$646,19,)/VLOOKUP($D8,$C$5:$AJ$646,4,))*$F8))</f>
        <v>0</v>
      </c>
      <c r="V8" s="98">
        <f>IF(VLOOKUP($D8,$C$5:$AJ$646,20,)=0,0,((VLOOKUP($D8,$C$5:$AJ$646,20,)/VLOOKUP($D8,$C$5:$AJ$646,4,))*$F8))</f>
        <v>1677.1083984874563</v>
      </c>
      <c r="W8" s="98">
        <f>IF(VLOOKUP($D8,$C$5:$AJ$646,21,)=0,0,((VLOOKUP($D8,$C$5:$AJ$646,21,)/VLOOKUP($D8,$C$5:$AJ$646,4,))*$F8))</f>
        <v>2400.4463600343324</v>
      </c>
      <c r="X8" s="98">
        <f>IF(VLOOKUP($D8,$C$5:$AJ$646,22,)=0,0,((VLOOKUP($D8,$C$5:$AJ$646,22,)/VLOOKUP($D8,$C$5:$AJ$646,4,))*$F8))</f>
        <v>295.96030561543347</v>
      </c>
      <c r="Y8" s="98">
        <f>IF(VLOOKUP($D8,$C$5:$AJ$646,23,)=0,0,((VLOOKUP($D8,$C$5:$AJ$646,23,)/VLOOKUP($D8,$C$5:$AJ$646,4,))*$F8))</f>
        <v>423.60818118252934</v>
      </c>
      <c r="Z8" s="98">
        <f>IF(VLOOKUP($D8,$C$5:$AJ$646,24,)=0,0,((VLOOKUP($D8,$C$5:$AJ$646,24,)/VLOOKUP($D8,$C$5:$AJ$646,4,))*$F8))</f>
        <v>1041.7028982300851</v>
      </c>
      <c r="AA8" s="98">
        <f>IF(VLOOKUP($D8,$C$5:$AJ$646,25,)=0,0,((VLOOKUP($D8,$C$5:$AJ$646,25,)/VLOOKUP($D8,$C$5:$AJ$646,4,))*$F8))</f>
        <v>891.31417029855663</v>
      </c>
      <c r="AB8" s="98">
        <f>IF(VLOOKUP($D8,$C$5:$AJ$646,26,)=0,0,((VLOOKUP($D8,$C$5:$AJ$646,26,)/VLOOKUP($D8,$C$5:$AJ$646,4,))*$F8))</f>
        <v>597.50562222683072</v>
      </c>
      <c r="AC8" s="98">
        <f>IF(VLOOKUP($D8,$C$5:$AJ$646,27,)=0,0,((VLOOKUP($D8,$C$5:$AJ$646,27,)/VLOOKUP($D8,$C$5:$AJ$646,4,))*$F8))</f>
        <v>473.50528702799653</v>
      </c>
      <c r="AD8" s="98">
        <f>IF(VLOOKUP($D8,$C$5:$AJ$646,28,)=0,0,((VLOOKUP($D8,$C$5:$AJ$646,28,)/VLOOKUP($D8,$C$5:$AJ$646,4,))*$F8))</f>
        <v>695.44915747672667</v>
      </c>
      <c r="AE8" s="98"/>
      <c r="AF8" s="98">
        <f>IF(VLOOKUP($D8,$C$5:$AJ$646,30,)=0,0,((VLOOKUP($D8,$C$5:$AJ$646,30,)/VLOOKUP($D8,$C$5:$AJ$646,4,))*$F8))</f>
        <v>0</v>
      </c>
      <c r="AG8" s="98"/>
      <c r="AH8" s="98">
        <f>IF(VLOOKUP($D8,$C$5:$AJ$646,32,)=0,0,((VLOOKUP($D8,$C$5:$AJ$646,32,)/VLOOKUP($D8,$C$5:$AJ$646,4,))*$F8))</f>
        <v>0</v>
      </c>
      <c r="AI8" s="98"/>
      <c r="AJ8" s="98">
        <f>IF(VLOOKUP($D8,$C$5:$AJ$646,34,)=0,0,((VLOOKUP($D8,$C$5:$AJ$646,34,)/VLOOKUP($D8,$C$5:$AJ$646,4,))*$F8))</f>
        <v>0</v>
      </c>
      <c r="AK8" s="98">
        <f>SUM(H8:AJ8)</f>
        <v>38707.20384349145</v>
      </c>
      <c r="AL8" s="95" t="str">
        <f>IF(ABS(AK8-F8)&lt;1,"ok","err")</f>
        <v>ok</v>
      </c>
    </row>
    <row r="9" spans="1:38" x14ac:dyDescent="0.25">
      <c r="A9" s="96">
        <v>302</v>
      </c>
      <c r="B9" s="94" t="s">
        <v>557</v>
      </c>
      <c r="C9" s="94" t="s">
        <v>559</v>
      </c>
      <c r="D9" s="94" t="s">
        <v>586</v>
      </c>
      <c r="F9" s="98">
        <f>'Jurisdictional Study'!F594</f>
        <v>55918.829999999994</v>
      </c>
      <c r="H9" s="98">
        <f>IF(VLOOKUP($D9,$C$5:$AJ$646,6,)=0,0,((VLOOKUP($D9,$C$5:$AJ$646,6,)/VLOOKUP($D9,$C$5:$AJ$646,4,))*$F9))</f>
        <v>12598.968094262933</v>
      </c>
      <c r="I9" s="98">
        <f>IF(VLOOKUP($D9,$C$5:$AJ$646,7,)=0,0,((VLOOKUP($D9,$C$5:$AJ$646,7,)/VLOOKUP($D9,$C$5:$AJ$646,4,))*$F9))</f>
        <v>11876.766878320805</v>
      </c>
      <c r="J9" s="98">
        <f>IF(VLOOKUP($D9,$C$5:$AJ$646,8,)=0,0,((VLOOKUP($D9,$C$5:$AJ$646,8,)/VLOOKUP($D9,$C$5:$AJ$646,4,))*$F9))</f>
        <v>12197.521574094579</v>
      </c>
      <c r="K9" s="98">
        <f>IF(VLOOKUP($D9,$C$5:$AJ$646,9,)=0,0,((VLOOKUP($D9,$C$5:$AJ$646,9,)/VLOOKUP($D9,$C$5:$AJ$646,4,))*$F9))</f>
        <v>0</v>
      </c>
      <c r="L9" s="98">
        <f>IF(VLOOKUP($D9,$C$5:$AJ$646,10,)=0,0,((VLOOKUP($D9,$C$5:$AJ$646,10,)/VLOOKUP($D9,$C$5:$AJ$646,4,))*$F9))</f>
        <v>0</v>
      </c>
      <c r="M9" s="98">
        <f>IF(VLOOKUP($D9,$C$5:$AJ$646,11,)=0,0,((VLOOKUP($D9,$C$5:$AJ$646,11,)/VLOOKUP($D9,$C$5:$AJ$646,4,))*$F9))</f>
        <v>0</v>
      </c>
      <c r="N9" s="98"/>
      <c r="O9" s="98">
        <f>IF(VLOOKUP($D9,$C$5:$AJ$646,13,)=0,0,((VLOOKUP($D9,$C$5:$AJ$646,13,)/VLOOKUP($D9,$C$5:$AJ$646,4,))*$F9))</f>
        <v>1880.8933437795561</v>
      </c>
      <c r="P9" s="98">
        <f>IF(VLOOKUP($D9,$C$5:$AJ$646,14,)=0,0,((VLOOKUP($D9,$C$5:$AJ$646,14,)/VLOOKUP($D9,$C$5:$AJ$646,4,))*$F9))</f>
        <v>1773.0763027511243</v>
      </c>
      <c r="Q9" s="98">
        <f>IF(VLOOKUP($D9,$C$5:$AJ$646,15,)=0,0,((VLOOKUP($D9,$C$5:$AJ$646,15,)/VLOOKUP($D9,$C$5:$AJ$646,4,))*$F9))</f>
        <v>1820.9616031783594</v>
      </c>
      <c r="R9" s="98"/>
      <c r="S9" s="98">
        <f>IF(VLOOKUP($D9,$C$5:$AJ$646,17,)=0,0,((VLOOKUP($D9,$C$5:$AJ$646,17,)/VLOOKUP($D9,$C$5:$AJ$646,4,))*$F9))</f>
        <v>0</v>
      </c>
      <c r="T9" s="98">
        <f>IF(VLOOKUP($D9,$C$5:$AJ$646,18,)=0,0,((VLOOKUP($D9,$C$5:$AJ$646,18,)/VLOOKUP($D9,$C$5:$AJ$646,4,))*$F9))</f>
        <v>1495.9257404787079</v>
      </c>
      <c r="U9" s="98">
        <f>IF(VLOOKUP($D9,$C$5:$AJ$646,19,)=0,0,((VLOOKUP($D9,$C$5:$AJ$646,19,)/VLOOKUP($D9,$C$5:$AJ$646,4,))*$F9))</f>
        <v>0</v>
      </c>
      <c r="V9" s="98">
        <f>IF(VLOOKUP($D9,$C$5:$AJ$646,20,)=0,0,((VLOOKUP($D9,$C$5:$AJ$646,20,)/VLOOKUP($D9,$C$5:$AJ$646,4,))*$F9))</f>
        <v>2422.8549240030311</v>
      </c>
      <c r="W9" s="98">
        <f>IF(VLOOKUP($D9,$C$5:$AJ$646,21,)=0,0,((VLOOKUP($D9,$C$5:$AJ$646,21,)/VLOOKUP($D9,$C$5:$AJ$646,4,))*$F9))</f>
        <v>3467.8338552591986</v>
      </c>
      <c r="X9" s="98">
        <f>IF(VLOOKUP($D9,$C$5:$AJ$646,22,)=0,0,((VLOOKUP($D9,$C$5:$AJ$646,22,)/VLOOKUP($D9,$C$5:$AJ$646,4,))*$F9))</f>
        <v>427.56263364759377</v>
      </c>
      <c r="Y9" s="98">
        <f>IF(VLOOKUP($D9,$C$5:$AJ$646,23,)=0,0,((VLOOKUP($D9,$C$5:$AJ$646,23,)/VLOOKUP($D9,$C$5:$AJ$646,4,))*$F9))</f>
        <v>611.97068033985863</v>
      </c>
      <c r="Z9" s="98">
        <f>IF(VLOOKUP($D9,$C$5:$AJ$646,24,)=0,0,((VLOOKUP($D9,$C$5:$AJ$646,24,)/VLOOKUP($D9,$C$5:$AJ$646,4,))*$F9))</f>
        <v>1504.9086860463105</v>
      </c>
      <c r="AA9" s="98">
        <f>IF(VLOOKUP($D9,$C$5:$AJ$646,25,)=0,0,((VLOOKUP($D9,$C$5:$AJ$646,25,)/VLOOKUP($D9,$C$5:$AJ$646,4,))*$F9))</f>
        <v>1287.6477920503874</v>
      </c>
      <c r="AB9" s="98">
        <f>IF(VLOOKUP($D9,$C$5:$AJ$646,26,)=0,0,((VLOOKUP($D9,$C$5:$AJ$646,26,)/VLOOKUP($D9,$C$5:$AJ$646,4,))*$F9))</f>
        <v>863.1937209529151</v>
      </c>
      <c r="AC9" s="98">
        <f>IF(VLOOKUP($D9,$C$5:$AJ$646,27,)=0,0,((VLOOKUP($D9,$C$5:$AJ$646,27,)/VLOOKUP($D9,$C$5:$AJ$646,4,))*$F9))</f>
        <v>684.05513755217805</v>
      </c>
      <c r="AD9" s="98">
        <f>IF(VLOOKUP($D9,$C$5:$AJ$646,28,)=0,0,((VLOOKUP($D9,$C$5:$AJ$646,28,)/VLOOKUP($D9,$C$5:$AJ$646,4,))*$F9))</f>
        <v>1004.6890332824537</v>
      </c>
      <c r="AE9" s="98"/>
      <c r="AF9" s="98">
        <f>IF(VLOOKUP($D9,$C$5:$AJ$646,30,)=0,0,((VLOOKUP($D9,$C$5:$AJ$646,30,)/VLOOKUP($D9,$C$5:$AJ$646,4,))*$F9))</f>
        <v>0</v>
      </c>
      <c r="AG9" s="98"/>
      <c r="AH9" s="98">
        <f>IF(VLOOKUP($D9,$C$5:$AJ$646,32,)=0,0,((VLOOKUP($D9,$C$5:$AJ$646,32,)/VLOOKUP($D9,$C$5:$AJ$646,4,))*$F9))</f>
        <v>0</v>
      </c>
      <c r="AI9" s="98"/>
      <c r="AJ9" s="98">
        <f>IF(VLOOKUP($D9,$C$5:$AJ$646,34,)=0,0,((VLOOKUP($D9,$C$5:$AJ$646,34,)/VLOOKUP($D9,$C$5:$AJ$646,4,))*$F9))</f>
        <v>0</v>
      </c>
      <c r="AK9" s="98">
        <f>SUM(H9:AJ9)</f>
        <v>55918.829999999987</v>
      </c>
      <c r="AL9" s="95" t="str">
        <f>IF(ABS(AK9-F9)&lt;1,"ok","err")</f>
        <v>ok</v>
      </c>
    </row>
    <row r="10" spans="1:38" x14ac:dyDescent="0.25">
      <c r="A10" s="96">
        <v>303</v>
      </c>
      <c r="B10" s="94" t="s">
        <v>2010</v>
      </c>
      <c r="C10" s="94" t="s">
        <v>560</v>
      </c>
      <c r="D10" s="94" t="s">
        <v>586</v>
      </c>
      <c r="F10" s="98">
        <f>'Jurisdictional Study'!F595</f>
        <v>52331978.0913826</v>
      </c>
      <c r="H10" s="98">
        <f>IF(VLOOKUP($D10,$C$5:$AJ$646,6,)=0,0,((VLOOKUP($D10,$C$5:$AJ$646,6,)/VLOOKUP($D10,$C$5:$AJ$646,4,))*$F10))</f>
        <v>11790821.129179496</v>
      </c>
      <c r="I10" s="98">
        <f>IF(VLOOKUP($D10,$C$5:$AJ$646,7,)=0,0,((VLOOKUP($D10,$C$5:$AJ$646,7,)/VLOOKUP($D10,$C$5:$AJ$646,4,))*$F10))</f>
        <v>11114944.716703532</v>
      </c>
      <c r="J10" s="98">
        <f>IF(VLOOKUP($D10,$C$5:$AJ$646,8,)=0,0,((VLOOKUP($D10,$C$5:$AJ$646,8,)/VLOOKUP($D10,$C$5:$AJ$646,4,))*$F10))</f>
        <v>11415124.954951385</v>
      </c>
      <c r="K10" s="98">
        <f>IF(VLOOKUP($D10,$C$5:$AJ$646,9,)=0,0,((VLOOKUP($D10,$C$5:$AJ$646,9,)/VLOOKUP($D10,$C$5:$AJ$646,4,))*$F10))</f>
        <v>0</v>
      </c>
      <c r="L10" s="98">
        <f>IF(VLOOKUP($D10,$C$5:$AJ$646,10,)=0,0,((VLOOKUP($D10,$C$5:$AJ$646,10,)/VLOOKUP($D10,$C$5:$AJ$646,4,))*$F10))</f>
        <v>0</v>
      </c>
      <c r="M10" s="98">
        <f>IF(VLOOKUP($D10,$C$5:$AJ$646,11,)=0,0,((VLOOKUP($D10,$C$5:$AJ$646,11,)/VLOOKUP($D10,$C$5:$AJ$646,4,))*$F10))</f>
        <v>0</v>
      </c>
      <c r="N10" s="98"/>
      <c r="O10" s="98">
        <f>IF(VLOOKUP($D10,$C$5:$AJ$646,13,)=0,0,((VLOOKUP($D10,$C$5:$AJ$646,13,)/VLOOKUP($D10,$C$5:$AJ$646,4,))*$F10))</f>
        <v>1760245.5069052607</v>
      </c>
      <c r="P10" s="98">
        <f>IF(VLOOKUP($D10,$C$5:$AJ$646,14,)=0,0,((VLOOKUP($D10,$C$5:$AJ$646,14,)/VLOOKUP($D10,$C$5:$AJ$646,4,))*$F10))</f>
        <v>1659344.2715078536</v>
      </c>
      <c r="Q10" s="98">
        <f>IF(VLOOKUP($D10,$C$5:$AJ$646,15,)=0,0,((VLOOKUP($D10,$C$5:$AJ$646,15,)/VLOOKUP($D10,$C$5:$AJ$646,4,))*$F10))</f>
        <v>1704158.0219539439</v>
      </c>
      <c r="R10" s="98"/>
      <c r="S10" s="98">
        <f>IF(VLOOKUP($D10,$C$5:$AJ$646,17,)=0,0,((VLOOKUP($D10,$C$5:$AJ$646,17,)/VLOOKUP($D10,$C$5:$AJ$646,4,))*$F10))</f>
        <v>0</v>
      </c>
      <c r="T10" s="98">
        <f>IF(VLOOKUP($D10,$C$5:$AJ$646,18,)=0,0,((VLOOKUP($D10,$C$5:$AJ$646,18,)/VLOOKUP($D10,$C$5:$AJ$646,4,))*$F10))</f>
        <v>1399971.2275286706</v>
      </c>
      <c r="U10" s="98">
        <f>IF(VLOOKUP($D10,$C$5:$AJ$646,19,)=0,0,((VLOOKUP($D10,$C$5:$AJ$646,19,)/VLOOKUP($D10,$C$5:$AJ$646,4,))*$F10))</f>
        <v>0</v>
      </c>
      <c r="V10" s="98">
        <f>IF(VLOOKUP($D10,$C$5:$AJ$646,20,)=0,0,((VLOOKUP($D10,$C$5:$AJ$646,20,)/VLOOKUP($D10,$C$5:$AJ$646,4,))*$F10))</f>
        <v>2267443.5570544857</v>
      </c>
      <c r="W10" s="98">
        <f>IF(VLOOKUP($D10,$C$5:$AJ$646,21,)=0,0,((VLOOKUP($D10,$C$5:$AJ$646,21,)/VLOOKUP($D10,$C$5:$AJ$646,4,))*$F10))</f>
        <v>3245393.462952985</v>
      </c>
      <c r="X10" s="98">
        <f>IF(VLOOKUP($D10,$C$5:$AJ$646,22,)=0,0,((VLOOKUP($D10,$C$5:$AJ$646,22,)/VLOOKUP($D10,$C$5:$AJ$646,4,))*$F10))</f>
        <v>400137.09830373281</v>
      </c>
      <c r="Y10" s="98">
        <f>IF(VLOOKUP($D10,$C$5:$AJ$646,23,)=0,0,((VLOOKUP($D10,$C$5:$AJ$646,23,)/VLOOKUP($D10,$C$5:$AJ$646,4,))*$F10))</f>
        <v>572716.49346229155</v>
      </c>
      <c r="Z10" s="98">
        <f>IF(VLOOKUP($D10,$C$5:$AJ$646,24,)=0,0,((VLOOKUP($D10,$C$5:$AJ$646,24,)/VLOOKUP($D10,$C$5:$AJ$646,4,))*$F10))</f>
        <v>1408377.9719229981</v>
      </c>
      <c r="AA10" s="98">
        <f>IF(VLOOKUP($D10,$C$5:$AJ$646,25,)=0,0,((VLOOKUP($D10,$C$5:$AJ$646,25,)/VLOOKUP($D10,$C$5:$AJ$646,4,))*$F10))</f>
        <v>1205053.0392534689</v>
      </c>
      <c r="AB10" s="98">
        <f>IF(VLOOKUP($D10,$C$5:$AJ$646,26,)=0,0,((VLOOKUP($D10,$C$5:$AJ$646,26,)/VLOOKUP($D10,$C$5:$AJ$646,4,))*$F10))</f>
        <v>807825.10817066429</v>
      </c>
      <c r="AC10" s="98">
        <f>IF(VLOOKUP($D10,$C$5:$AJ$646,27,)=0,0,((VLOOKUP($D10,$C$5:$AJ$646,27,)/VLOOKUP($D10,$C$5:$AJ$646,4,))*$F10))</f>
        <v>640177.17237070762</v>
      </c>
      <c r="AD10" s="98">
        <f>IF(VLOOKUP($D10,$C$5:$AJ$646,28,)=0,0,((VLOOKUP($D10,$C$5:$AJ$646,28,)/VLOOKUP($D10,$C$5:$AJ$646,4,))*$F10))</f>
        <v>940244.35916112224</v>
      </c>
      <c r="AE10" s="98"/>
      <c r="AF10" s="98">
        <f>IF(VLOOKUP($D10,$C$5:$AJ$646,30,)=0,0,((VLOOKUP($D10,$C$5:$AJ$646,30,)/VLOOKUP($D10,$C$5:$AJ$646,4,))*$F10))</f>
        <v>0</v>
      </c>
      <c r="AG10" s="98"/>
      <c r="AH10" s="98">
        <f>IF(VLOOKUP($D10,$C$5:$AJ$646,32,)=0,0,((VLOOKUP($D10,$C$5:$AJ$646,32,)/VLOOKUP($D10,$C$5:$AJ$646,4,))*$F10))</f>
        <v>0</v>
      </c>
      <c r="AI10" s="98"/>
      <c r="AJ10" s="98">
        <f>IF(VLOOKUP($D10,$C$5:$AJ$646,34,)=0,0,((VLOOKUP($D10,$C$5:$AJ$646,34,)/VLOOKUP($D10,$C$5:$AJ$646,4,))*$F10))</f>
        <v>0</v>
      </c>
      <c r="AK10" s="98">
        <f>SUM(H10:AJ10)</f>
        <v>52331978.091382593</v>
      </c>
      <c r="AL10" s="95" t="str">
        <f>IF(ABS(AK10-F10)&lt;1,"ok","err")</f>
        <v>ok</v>
      </c>
    </row>
    <row r="11" spans="1:38" x14ac:dyDescent="0.25">
      <c r="AL11" s="95"/>
    </row>
    <row r="12" spans="1:38" x14ac:dyDescent="0.25">
      <c r="B12" s="94" t="s">
        <v>130</v>
      </c>
      <c r="C12" s="94" t="s">
        <v>131</v>
      </c>
      <c r="F12" s="99">
        <f t="shared" ref="F12:M12" si="0">SUM(F8:F10)</f>
        <v>52426604.125226095</v>
      </c>
      <c r="G12" s="99">
        <f t="shared" si="0"/>
        <v>0</v>
      </c>
      <c r="H12" s="99">
        <f t="shared" si="0"/>
        <v>11812141.145733505</v>
      </c>
      <c r="I12" s="99">
        <f t="shared" si="0"/>
        <v>11135042.621909689</v>
      </c>
      <c r="J12" s="99">
        <f t="shared" si="0"/>
        <v>11435765.642341966</v>
      </c>
      <c r="K12" s="99">
        <f t="shared" si="0"/>
        <v>0</v>
      </c>
      <c r="L12" s="99">
        <f t="shared" si="0"/>
        <v>0</v>
      </c>
      <c r="M12" s="99">
        <f t="shared" si="0"/>
        <v>0</v>
      </c>
      <c r="N12" s="99"/>
      <c r="O12" s="99">
        <f>SUM(O8:O10)</f>
        <v>1763428.3610029677</v>
      </c>
      <c r="P12" s="99">
        <f>SUM(P8:P10)</f>
        <v>1662344.6772429382</v>
      </c>
      <c r="Q12" s="99">
        <f>SUM(Q8:Q10)</f>
        <v>1707239.4593568733</v>
      </c>
      <c r="R12" s="99"/>
      <c r="S12" s="99">
        <f t="shared" ref="S12:AD12" si="1">SUM(S8:S10)</f>
        <v>0</v>
      </c>
      <c r="T12" s="99">
        <f t="shared" si="1"/>
        <v>1402502.6381419809</v>
      </c>
      <c r="U12" s="99">
        <f t="shared" si="1"/>
        <v>0</v>
      </c>
      <c r="V12" s="99">
        <f t="shared" si="1"/>
        <v>2271543.5203769761</v>
      </c>
      <c r="W12" s="99">
        <f t="shared" si="1"/>
        <v>3251261.7431682786</v>
      </c>
      <c r="X12" s="99">
        <f t="shared" si="1"/>
        <v>400860.62124299584</v>
      </c>
      <c r="Y12" s="99">
        <f t="shared" si="1"/>
        <v>573752.07232381392</v>
      </c>
      <c r="Z12" s="99">
        <f t="shared" si="1"/>
        <v>1410924.5835072745</v>
      </c>
      <c r="AA12" s="99">
        <f t="shared" si="1"/>
        <v>1207232.0012158179</v>
      </c>
      <c r="AB12" s="99">
        <f t="shared" si="1"/>
        <v>809285.80751384399</v>
      </c>
      <c r="AC12" s="99">
        <f t="shared" si="1"/>
        <v>641334.73279528774</v>
      </c>
      <c r="AD12" s="99">
        <f t="shared" si="1"/>
        <v>941944.49735188147</v>
      </c>
      <c r="AE12" s="99"/>
      <c r="AF12" s="99">
        <f>SUM(AF8:AF10)</f>
        <v>0</v>
      </c>
      <c r="AG12" s="99"/>
      <c r="AH12" s="99">
        <f>SUM(AH8:AH10)</f>
        <v>0</v>
      </c>
      <c r="AI12" s="99"/>
      <c r="AJ12" s="99">
        <f>SUM(AJ8:AJ10)</f>
        <v>0</v>
      </c>
      <c r="AK12" s="98">
        <f>SUM(H12:AJ12)</f>
        <v>52426604.125226088</v>
      </c>
      <c r="AL12" s="95" t="str">
        <f>IF(ABS(AK12-F12)&lt;1,"ok","err")</f>
        <v>ok</v>
      </c>
    </row>
    <row r="13" spans="1:38" x14ac:dyDescent="0.25"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8"/>
      <c r="AL13" s="95"/>
    </row>
    <row r="14" spans="1:38" x14ac:dyDescent="0.25">
      <c r="A14" s="15" t="s">
        <v>1896</v>
      </c>
      <c r="Y14" s="94"/>
      <c r="AL14" s="95"/>
    </row>
    <row r="15" spans="1:38" x14ac:dyDescent="0.25"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8"/>
      <c r="AL15" s="95"/>
    </row>
    <row r="16" spans="1:38" x14ac:dyDescent="0.25">
      <c r="B16" s="94" t="s">
        <v>1897</v>
      </c>
      <c r="C16" s="94" t="s">
        <v>1898</v>
      </c>
      <c r="D16" s="94" t="s">
        <v>882</v>
      </c>
      <c r="F16" s="99">
        <f>'Jurisdictional Study'!F609</f>
        <v>3105688241.9405155</v>
      </c>
      <c r="G16" s="99"/>
      <c r="H16" s="98">
        <f>IF(VLOOKUP($D16,$C$5:$AJ$646,6,)=0,0,((VLOOKUP($D16,$C$5:$AJ$646,6,)/VLOOKUP($D16,$C$5:$AJ$646,4,))*$F16))</f>
        <v>1066948254.8170421</v>
      </c>
      <c r="I16" s="98">
        <f>IF(VLOOKUP($D16,$C$5:$AJ$646,7,)=0,0,((VLOOKUP($D16,$C$5:$AJ$646,7,)/VLOOKUP($D16,$C$5:$AJ$646,4,))*$F16))</f>
        <v>1005788378.7691714</v>
      </c>
      <c r="J16" s="98">
        <f>IF(VLOOKUP($D16,$C$5:$AJ$646,8,)=0,0,((VLOOKUP($D16,$C$5:$AJ$646,8,)/VLOOKUP($D16,$C$5:$AJ$646,4,))*$F16))</f>
        <v>1032951608.354302</v>
      </c>
      <c r="K16" s="98">
        <f>IF(VLOOKUP($D16,$C$5:$AJ$646,9,)=0,0,((VLOOKUP($D16,$C$5:$AJ$646,9,)/VLOOKUP($D16,$C$5:$AJ$646,4,))*$F16))</f>
        <v>0</v>
      </c>
      <c r="L16" s="98">
        <f>IF(VLOOKUP($D16,$C$5:$AJ$646,10,)=0,0,((VLOOKUP($D16,$C$5:$AJ$646,10,)/VLOOKUP($D16,$C$5:$AJ$646,4,))*$F16))</f>
        <v>0</v>
      </c>
      <c r="M16" s="98">
        <f>IF(VLOOKUP($D16,$C$5:$AJ$646,11,)=0,0,((VLOOKUP($D16,$C$5:$AJ$646,11,)/VLOOKUP($D16,$C$5:$AJ$646,4,))*$F16))</f>
        <v>0</v>
      </c>
      <c r="N16" s="98"/>
      <c r="O16" s="98">
        <f>IF(VLOOKUP($D16,$C$5:$AJ$646,13,)=0,0,((VLOOKUP($D16,$C$5:$AJ$646,13,)/VLOOKUP($D16,$C$5:$AJ$646,4,))*$F16))</f>
        <v>0</v>
      </c>
      <c r="P16" s="98">
        <f>IF(VLOOKUP($D16,$C$5:$AJ$646,14,)=0,0,((VLOOKUP($D16,$C$5:$AJ$646,14,)/VLOOKUP($D16,$C$5:$AJ$646,4,))*$F16))</f>
        <v>0</v>
      </c>
      <c r="Q16" s="98">
        <f>IF(VLOOKUP($D16,$C$5:$AJ$646,15,)=0,0,((VLOOKUP($D16,$C$5:$AJ$646,15,)/VLOOKUP($D16,$C$5:$AJ$646,4,))*$F16))</f>
        <v>0</v>
      </c>
      <c r="R16" s="98"/>
      <c r="S16" s="98">
        <f>IF(VLOOKUP($D16,$C$5:$AJ$646,17,)=0,0,((VLOOKUP($D16,$C$5:$AJ$646,17,)/VLOOKUP($D16,$C$5:$AJ$646,4,))*$F16))</f>
        <v>0</v>
      </c>
      <c r="T16" s="98">
        <f>IF(VLOOKUP($D16,$C$5:$AJ$646,18,)=0,0,((VLOOKUP($D16,$C$5:$AJ$646,18,)/VLOOKUP($D16,$C$5:$AJ$646,4,))*$F16))</f>
        <v>0</v>
      </c>
      <c r="U16" s="98">
        <f>IF(VLOOKUP($D16,$C$5:$AJ$646,19,)=0,0,((VLOOKUP($D16,$C$5:$AJ$646,19,)/VLOOKUP($D16,$C$5:$AJ$646,4,))*$F16))</f>
        <v>0</v>
      </c>
      <c r="V16" s="98">
        <f>IF(VLOOKUP($D16,$C$5:$AJ$646,20,)=0,0,((VLOOKUP($D16,$C$5:$AJ$646,20,)/VLOOKUP($D16,$C$5:$AJ$646,4,))*$F16))</f>
        <v>0</v>
      </c>
      <c r="W16" s="98">
        <f>IF(VLOOKUP($D16,$C$5:$AJ$646,21,)=0,0,((VLOOKUP($D16,$C$5:$AJ$646,21,)/VLOOKUP($D16,$C$5:$AJ$646,4,))*$F16))</f>
        <v>0</v>
      </c>
      <c r="X16" s="98">
        <f>IF(VLOOKUP($D16,$C$5:$AJ$646,22,)=0,0,((VLOOKUP($D16,$C$5:$AJ$646,22,)/VLOOKUP($D16,$C$5:$AJ$646,4,))*$F16))</f>
        <v>0</v>
      </c>
      <c r="Y16" s="98">
        <f>IF(VLOOKUP($D16,$C$5:$AJ$646,23,)=0,0,((VLOOKUP($D16,$C$5:$AJ$646,23,)/VLOOKUP($D16,$C$5:$AJ$646,4,))*$F16))</f>
        <v>0</v>
      </c>
      <c r="Z16" s="98">
        <f>IF(VLOOKUP($D16,$C$5:$AJ$646,24,)=0,0,((VLOOKUP($D16,$C$5:$AJ$646,24,)/VLOOKUP($D16,$C$5:$AJ$646,4,))*$F16))</f>
        <v>0</v>
      </c>
      <c r="AA16" s="98">
        <f>IF(VLOOKUP($D16,$C$5:$AJ$646,25,)=0,0,((VLOOKUP($D16,$C$5:$AJ$646,25,)/VLOOKUP($D16,$C$5:$AJ$646,4,))*$F16))</f>
        <v>0</v>
      </c>
      <c r="AB16" s="98">
        <f>IF(VLOOKUP($D16,$C$5:$AJ$646,26,)=0,0,((VLOOKUP($D16,$C$5:$AJ$646,26,)/VLOOKUP($D16,$C$5:$AJ$646,4,))*$F16))</f>
        <v>0</v>
      </c>
      <c r="AC16" s="98">
        <f>IF(VLOOKUP($D16,$C$5:$AJ$646,27,)=0,0,((VLOOKUP($D16,$C$5:$AJ$646,27,)/VLOOKUP($D16,$C$5:$AJ$646,4,))*$F16))</f>
        <v>0</v>
      </c>
      <c r="AD16" s="98">
        <f>IF(VLOOKUP($D16,$C$5:$AJ$646,28,)=0,0,((VLOOKUP($D16,$C$5:$AJ$646,28,)/VLOOKUP($D16,$C$5:$AJ$646,4,))*$F16))</f>
        <v>0</v>
      </c>
      <c r="AE16" s="98"/>
      <c r="AF16" s="98">
        <f>IF(VLOOKUP($D16,$C$5:$AJ$646,30,)=0,0,((VLOOKUP($D16,$C$5:$AJ$646,30,)/VLOOKUP($D16,$C$5:$AJ$646,4,))*$F16))</f>
        <v>0</v>
      </c>
      <c r="AG16" s="98"/>
      <c r="AH16" s="98">
        <f>IF(VLOOKUP($D16,$C$5:$AJ$646,32,)=0,0,((VLOOKUP($D16,$C$5:$AJ$646,32,)/VLOOKUP($D16,$C$5:$AJ$646,4,))*$F16))</f>
        <v>0</v>
      </c>
      <c r="AI16" s="98"/>
      <c r="AJ16" s="98">
        <f>IF(VLOOKUP($D16,$C$5:$AJ$646,34,)=0,0,((VLOOKUP($D16,$C$5:$AJ$646,34,)/VLOOKUP($D16,$C$5:$AJ$646,4,))*$F16))</f>
        <v>0</v>
      </c>
      <c r="AK16" s="98">
        <f>SUM(H16:AJ16)</f>
        <v>3105688241.9405155</v>
      </c>
      <c r="AL16" s="95" t="str">
        <f>IF(ABS(AK16-F16)&lt;1,"ok","err")</f>
        <v>ok</v>
      </c>
    </row>
    <row r="17" spans="1:38" x14ac:dyDescent="0.25">
      <c r="AL17" s="95"/>
    </row>
    <row r="18" spans="1:38" x14ac:dyDescent="0.25">
      <c r="A18" s="15" t="s">
        <v>2011</v>
      </c>
      <c r="Y18" s="94"/>
      <c r="AL18" s="95"/>
    </row>
    <row r="19" spans="1:38" x14ac:dyDescent="0.25"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8"/>
      <c r="AL19" s="95"/>
    </row>
    <row r="20" spans="1:38" x14ac:dyDescent="0.25">
      <c r="B20" s="94" t="s">
        <v>2012</v>
      </c>
      <c r="C20" s="94" t="s">
        <v>2013</v>
      </c>
      <c r="D20" s="94" t="s">
        <v>882</v>
      </c>
      <c r="F20" s="99">
        <f>'Jurisdictional Study'!F622</f>
        <v>24836524.438375533</v>
      </c>
      <c r="G20" s="99"/>
      <c r="H20" s="98">
        <f>IF(VLOOKUP($D20,$C$5:$AJ$646,6,)=0,0,((VLOOKUP($D20,$C$5:$AJ$646,6,)/VLOOKUP($D20,$C$5:$AJ$646,4,))*$F20))</f>
        <v>8532500.4768309072</v>
      </c>
      <c r="I20" s="98">
        <f>IF(VLOOKUP($D20,$C$5:$AJ$646,7,)=0,0,((VLOOKUP($D20,$C$5:$AJ$646,7,)/VLOOKUP($D20,$C$5:$AJ$646,4,))*$F20))</f>
        <v>8043398.3397915987</v>
      </c>
      <c r="J20" s="98">
        <f>IF(VLOOKUP($D20,$C$5:$AJ$646,8,)=0,0,((VLOOKUP($D20,$C$5:$AJ$646,8,)/VLOOKUP($D20,$C$5:$AJ$646,4,))*$F20))</f>
        <v>8260625.6217530267</v>
      </c>
      <c r="K20" s="98">
        <f>IF(VLOOKUP($D20,$C$5:$AJ$646,9,)=0,0,((VLOOKUP($D20,$C$5:$AJ$646,9,)/VLOOKUP($D20,$C$5:$AJ$646,4,))*$F20))</f>
        <v>0</v>
      </c>
      <c r="L20" s="98">
        <f>IF(VLOOKUP($D20,$C$5:$AJ$646,10,)=0,0,((VLOOKUP($D20,$C$5:$AJ$646,10,)/VLOOKUP($D20,$C$5:$AJ$646,4,))*$F20))</f>
        <v>0</v>
      </c>
      <c r="M20" s="98">
        <f>IF(VLOOKUP($D20,$C$5:$AJ$646,11,)=0,0,((VLOOKUP($D20,$C$5:$AJ$646,11,)/VLOOKUP($D20,$C$5:$AJ$646,4,))*$F20))</f>
        <v>0</v>
      </c>
      <c r="N20" s="98"/>
      <c r="O20" s="98">
        <f>IF(VLOOKUP($D20,$C$5:$AJ$646,13,)=0,0,((VLOOKUP($D20,$C$5:$AJ$646,13,)/VLOOKUP($D20,$C$5:$AJ$646,4,))*$F20))</f>
        <v>0</v>
      </c>
      <c r="P20" s="98">
        <f>IF(VLOOKUP($D20,$C$5:$AJ$646,14,)=0,0,((VLOOKUP($D20,$C$5:$AJ$646,14,)/VLOOKUP($D20,$C$5:$AJ$646,4,))*$F20))</f>
        <v>0</v>
      </c>
      <c r="Q20" s="98">
        <f>IF(VLOOKUP($D20,$C$5:$AJ$646,15,)=0,0,((VLOOKUP($D20,$C$5:$AJ$646,15,)/VLOOKUP($D20,$C$5:$AJ$646,4,))*$F20))</f>
        <v>0</v>
      </c>
      <c r="R20" s="98"/>
      <c r="S20" s="98">
        <f>IF(VLOOKUP($D20,$C$5:$AJ$646,17,)=0,0,((VLOOKUP($D20,$C$5:$AJ$646,17,)/VLOOKUP($D20,$C$5:$AJ$646,4,))*$F20))</f>
        <v>0</v>
      </c>
      <c r="T20" s="98">
        <f>IF(VLOOKUP($D20,$C$5:$AJ$646,18,)=0,0,((VLOOKUP($D20,$C$5:$AJ$646,18,)/VLOOKUP($D20,$C$5:$AJ$646,4,))*$F20))</f>
        <v>0</v>
      </c>
      <c r="U20" s="98">
        <f>IF(VLOOKUP($D20,$C$5:$AJ$646,19,)=0,0,((VLOOKUP($D20,$C$5:$AJ$646,19,)/VLOOKUP($D20,$C$5:$AJ$646,4,))*$F20))</f>
        <v>0</v>
      </c>
      <c r="V20" s="98">
        <f>IF(VLOOKUP($D20,$C$5:$AJ$646,20,)=0,0,((VLOOKUP($D20,$C$5:$AJ$646,20,)/VLOOKUP($D20,$C$5:$AJ$646,4,))*$F20))</f>
        <v>0</v>
      </c>
      <c r="W20" s="98">
        <f>IF(VLOOKUP($D20,$C$5:$AJ$646,21,)=0,0,((VLOOKUP($D20,$C$5:$AJ$646,21,)/VLOOKUP($D20,$C$5:$AJ$646,4,))*$F20))</f>
        <v>0</v>
      </c>
      <c r="X20" s="98">
        <f>IF(VLOOKUP($D20,$C$5:$AJ$646,22,)=0,0,((VLOOKUP($D20,$C$5:$AJ$646,22,)/VLOOKUP($D20,$C$5:$AJ$646,4,))*$F20))</f>
        <v>0</v>
      </c>
      <c r="Y20" s="98">
        <f>IF(VLOOKUP($D20,$C$5:$AJ$646,23,)=0,0,((VLOOKUP($D20,$C$5:$AJ$646,23,)/VLOOKUP($D20,$C$5:$AJ$646,4,))*$F20))</f>
        <v>0</v>
      </c>
      <c r="Z20" s="98">
        <f>IF(VLOOKUP($D20,$C$5:$AJ$646,24,)=0,0,((VLOOKUP($D20,$C$5:$AJ$646,24,)/VLOOKUP($D20,$C$5:$AJ$646,4,))*$F20))</f>
        <v>0</v>
      </c>
      <c r="AA20" s="98">
        <f>IF(VLOOKUP($D20,$C$5:$AJ$646,25,)=0,0,((VLOOKUP($D20,$C$5:$AJ$646,25,)/VLOOKUP($D20,$C$5:$AJ$646,4,))*$F20))</f>
        <v>0</v>
      </c>
      <c r="AB20" s="98">
        <f>IF(VLOOKUP($D20,$C$5:$AJ$646,26,)=0,0,((VLOOKUP($D20,$C$5:$AJ$646,26,)/VLOOKUP($D20,$C$5:$AJ$646,4,))*$F20))</f>
        <v>0</v>
      </c>
      <c r="AC20" s="98">
        <f>IF(VLOOKUP($D20,$C$5:$AJ$646,27,)=0,0,((VLOOKUP($D20,$C$5:$AJ$646,27,)/VLOOKUP($D20,$C$5:$AJ$646,4,))*$F20))</f>
        <v>0</v>
      </c>
      <c r="AD20" s="98">
        <f>IF(VLOOKUP($D20,$C$5:$AJ$646,28,)=0,0,((VLOOKUP($D20,$C$5:$AJ$646,28,)/VLOOKUP($D20,$C$5:$AJ$646,4,))*$F20))</f>
        <v>0</v>
      </c>
      <c r="AE20" s="98"/>
      <c r="AF20" s="98">
        <f>IF(VLOOKUP($D20,$C$5:$AJ$646,30,)=0,0,((VLOOKUP($D20,$C$5:$AJ$646,30,)/VLOOKUP($D20,$C$5:$AJ$646,4,))*$F20))</f>
        <v>0</v>
      </c>
      <c r="AG20" s="98"/>
      <c r="AH20" s="98">
        <f>IF(VLOOKUP($D20,$C$5:$AJ$646,32,)=0,0,((VLOOKUP($D20,$C$5:$AJ$646,32,)/VLOOKUP($D20,$C$5:$AJ$646,4,))*$F20))</f>
        <v>0</v>
      </c>
      <c r="AI20" s="98"/>
      <c r="AJ20" s="98">
        <f>IF(VLOOKUP($D20,$C$5:$AJ$646,34,)=0,0,((VLOOKUP($D20,$C$5:$AJ$646,34,)/VLOOKUP($D20,$C$5:$AJ$646,4,))*$F20))</f>
        <v>0</v>
      </c>
      <c r="AK20" s="98">
        <f>SUM(H20:AJ20)</f>
        <v>24836524.438375533</v>
      </c>
      <c r="AL20" s="95" t="str">
        <f>IF(ABS(AK20-F20)&lt;1,"ok","err")</f>
        <v>ok</v>
      </c>
    </row>
    <row r="21" spans="1:38" x14ac:dyDescent="0.25">
      <c r="AL21" s="95"/>
    </row>
    <row r="22" spans="1:38" x14ac:dyDescent="0.25">
      <c r="A22" s="15" t="s">
        <v>1899</v>
      </c>
      <c r="Y22" s="94"/>
      <c r="AL22" s="95"/>
    </row>
    <row r="23" spans="1:38" x14ac:dyDescent="0.25"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8"/>
      <c r="AL23" s="95"/>
    </row>
    <row r="24" spans="1:38" x14ac:dyDescent="0.25">
      <c r="B24" s="94" t="s">
        <v>1900</v>
      </c>
      <c r="C24" s="94" t="s">
        <v>1901</v>
      </c>
      <c r="D24" s="94" t="s">
        <v>882</v>
      </c>
      <c r="F24" s="99">
        <f>'Jurisdictional Study'!F635</f>
        <v>459827511.44554573</v>
      </c>
      <c r="G24" s="99"/>
      <c r="H24" s="98">
        <f>IF(VLOOKUP($D24,$C$5:$AJ$646,6,)=0,0,((VLOOKUP($D24,$C$5:$AJ$646,6,)/VLOOKUP($D24,$C$5:$AJ$646,4,))*$F24))</f>
        <v>157972121.67926461</v>
      </c>
      <c r="I24" s="98">
        <f>IF(VLOOKUP($D24,$C$5:$AJ$646,7,)=0,0,((VLOOKUP($D24,$C$5:$AJ$646,7,)/VLOOKUP($D24,$C$5:$AJ$646,4,))*$F24))</f>
        <v>148916804.01291749</v>
      </c>
      <c r="J24" s="98">
        <f>IF(VLOOKUP($D24,$C$5:$AJ$646,8,)=0,0,((VLOOKUP($D24,$C$5:$AJ$646,8,)/VLOOKUP($D24,$C$5:$AJ$646,4,))*$F24))</f>
        <v>152938585.75336364</v>
      </c>
      <c r="K24" s="98">
        <f>IF(VLOOKUP($D24,$C$5:$AJ$646,9,)=0,0,((VLOOKUP($D24,$C$5:$AJ$646,9,)/VLOOKUP($D24,$C$5:$AJ$646,4,))*$F24))</f>
        <v>0</v>
      </c>
      <c r="L24" s="98">
        <f>IF(VLOOKUP($D24,$C$5:$AJ$646,10,)=0,0,((VLOOKUP($D24,$C$5:$AJ$646,10,)/VLOOKUP($D24,$C$5:$AJ$646,4,))*$F24))</f>
        <v>0</v>
      </c>
      <c r="M24" s="98">
        <f>IF(VLOOKUP($D24,$C$5:$AJ$646,11,)=0,0,((VLOOKUP($D24,$C$5:$AJ$646,11,)/VLOOKUP($D24,$C$5:$AJ$646,4,))*$F24))</f>
        <v>0</v>
      </c>
      <c r="N24" s="98"/>
      <c r="O24" s="98">
        <f>IF(VLOOKUP($D24,$C$5:$AJ$646,13,)=0,0,((VLOOKUP($D24,$C$5:$AJ$646,13,)/VLOOKUP($D24,$C$5:$AJ$646,4,))*$F24))</f>
        <v>0</v>
      </c>
      <c r="P24" s="98">
        <f>IF(VLOOKUP($D24,$C$5:$AJ$646,14,)=0,0,((VLOOKUP($D24,$C$5:$AJ$646,14,)/VLOOKUP($D24,$C$5:$AJ$646,4,))*$F24))</f>
        <v>0</v>
      </c>
      <c r="Q24" s="98">
        <f>IF(VLOOKUP($D24,$C$5:$AJ$646,15,)=0,0,((VLOOKUP($D24,$C$5:$AJ$646,15,)/VLOOKUP($D24,$C$5:$AJ$646,4,))*$F24))</f>
        <v>0</v>
      </c>
      <c r="R24" s="98"/>
      <c r="S24" s="98">
        <f>IF(VLOOKUP($D24,$C$5:$AJ$646,17,)=0,0,((VLOOKUP($D24,$C$5:$AJ$646,17,)/VLOOKUP($D24,$C$5:$AJ$646,4,))*$F24))</f>
        <v>0</v>
      </c>
      <c r="T24" s="98">
        <f>IF(VLOOKUP($D24,$C$5:$AJ$646,18,)=0,0,((VLOOKUP($D24,$C$5:$AJ$646,18,)/VLOOKUP($D24,$C$5:$AJ$646,4,))*$F24))</f>
        <v>0</v>
      </c>
      <c r="U24" s="98">
        <f>IF(VLOOKUP($D24,$C$5:$AJ$646,19,)=0,0,((VLOOKUP($D24,$C$5:$AJ$646,19,)/VLOOKUP($D24,$C$5:$AJ$646,4,))*$F24))</f>
        <v>0</v>
      </c>
      <c r="V24" s="98">
        <f>IF(VLOOKUP($D24,$C$5:$AJ$646,20,)=0,0,((VLOOKUP($D24,$C$5:$AJ$646,20,)/VLOOKUP($D24,$C$5:$AJ$646,4,))*$F24))</f>
        <v>0</v>
      </c>
      <c r="W24" s="98">
        <f>IF(VLOOKUP($D24,$C$5:$AJ$646,21,)=0,0,((VLOOKUP($D24,$C$5:$AJ$646,21,)/VLOOKUP($D24,$C$5:$AJ$646,4,))*$F24))</f>
        <v>0</v>
      </c>
      <c r="X24" s="98">
        <f>IF(VLOOKUP($D24,$C$5:$AJ$646,22,)=0,0,((VLOOKUP($D24,$C$5:$AJ$646,22,)/VLOOKUP($D24,$C$5:$AJ$646,4,))*$F24))</f>
        <v>0</v>
      </c>
      <c r="Y24" s="98">
        <f>IF(VLOOKUP($D24,$C$5:$AJ$646,23,)=0,0,((VLOOKUP($D24,$C$5:$AJ$646,23,)/VLOOKUP($D24,$C$5:$AJ$646,4,))*$F24))</f>
        <v>0</v>
      </c>
      <c r="Z24" s="98">
        <f>IF(VLOOKUP($D24,$C$5:$AJ$646,24,)=0,0,((VLOOKUP($D24,$C$5:$AJ$646,24,)/VLOOKUP($D24,$C$5:$AJ$646,4,))*$F24))</f>
        <v>0</v>
      </c>
      <c r="AA24" s="98">
        <f>IF(VLOOKUP($D24,$C$5:$AJ$646,25,)=0,0,((VLOOKUP($D24,$C$5:$AJ$646,25,)/VLOOKUP($D24,$C$5:$AJ$646,4,))*$F24))</f>
        <v>0</v>
      </c>
      <c r="AB24" s="98">
        <f>IF(VLOOKUP($D24,$C$5:$AJ$646,26,)=0,0,((VLOOKUP($D24,$C$5:$AJ$646,26,)/VLOOKUP($D24,$C$5:$AJ$646,4,))*$F24))</f>
        <v>0</v>
      </c>
      <c r="AC24" s="98">
        <f>IF(VLOOKUP($D24,$C$5:$AJ$646,27,)=0,0,((VLOOKUP($D24,$C$5:$AJ$646,27,)/VLOOKUP($D24,$C$5:$AJ$646,4,))*$F24))</f>
        <v>0</v>
      </c>
      <c r="AD24" s="98">
        <f>IF(VLOOKUP($D24,$C$5:$AJ$646,28,)=0,0,((VLOOKUP($D24,$C$5:$AJ$646,28,)/VLOOKUP($D24,$C$5:$AJ$646,4,))*$F24))</f>
        <v>0</v>
      </c>
      <c r="AE24" s="98"/>
      <c r="AF24" s="98">
        <f>IF(VLOOKUP($D24,$C$5:$AJ$646,30,)=0,0,((VLOOKUP($D24,$C$5:$AJ$646,30,)/VLOOKUP($D24,$C$5:$AJ$646,4,))*$F24))</f>
        <v>0</v>
      </c>
      <c r="AG24" s="98"/>
      <c r="AH24" s="98">
        <f>IF(VLOOKUP($D24,$C$5:$AJ$646,32,)=0,0,((VLOOKUP($D24,$C$5:$AJ$646,32,)/VLOOKUP($D24,$C$5:$AJ$646,4,))*$F24))</f>
        <v>0</v>
      </c>
      <c r="AI24" s="98"/>
      <c r="AJ24" s="98">
        <f>IF(VLOOKUP($D24,$C$5:$AJ$646,34,)=0,0,((VLOOKUP($D24,$C$5:$AJ$646,34,)/VLOOKUP($D24,$C$5:$AJ$646,4,))*$F24))</f>
        <v>0</v>
      </c>
      <c r="AK24" s="98">
        <f>SUM(H24:AJ24)</f>
        <v>459827511.44554567</v>
      </c>
      <c r="AL24" s="95" t="str">
        <f>IF(ABS(AK24-F24)&lt;1,"ok","err")</f>
        <v>ok</v>
      </c>
    </row>
    <row r="25" spans="1:38" x14ac:dyDescent="0.25">
      <c r="AL25" s="95"/>
    </row>
    <row r="26" spans="1:38" x14ac:dyDescent="0.25">
      <c r="B26" s="16" t="s">
        <v>1902</v>
      </c>
      <c r="C26" s="94" t="s">
        <v>1903</v>
      </c>
      <c r="F26" s="99">
        <f>F16+F20+F24</f>
        <v>3590352277.8244367</v>
      </c>
      <c r="G26" s="99"/>
      <c r="H26" s="99">
        <f t="shared" ref="H26:AJ26" si="2">H16+H20+H24</f>
        <v>1233452876.9731376</v>
      </c>
      <c r="I26" s="99">
        <f t="shared" si="2"/>
        <v>1162748581.1218805</v>
      </c>
      <c r="J26" s="99">
        <f t="shared" si="2"/>
        <v>1194150819.7294188</v>
      </c>
      <c r="K26" s="99">
        <f t="shared" si="2"/>
        <v>0</v>
      </c>
      <c r="L26" s="99">
        <f t="shared" si="2"/>
        <v>0</v>
      </c>
      <c r="M26" s="99">
        <f t="shared" si="2"/>
        <v>0</v>
      </c>
      <c r="N26" s="99"/>
      <c r="O26" s="99">
        <f t="shared" si="2"/>
        <v>0</v>
      </c>
      <c r="P26" s="99">
        <f>P16+P20+P24</f>
        <v>0</v>
      </c>
      <c r="Q26" s="99">
        <f>Q16+Q20+Q24</f>
        <v>0</v>
      </c>
      <c r="R26" s="99"/>
      <c r="S26" s="99">
        <f t="shared" si="2"/>
        <v>0</v>
      </c>
      <c r="T26" s="99"/>
      <c r="U26" s="99">
        <f t="shared" si="2"/>
        <v>0</v>
      </c>
      <c r="V26" s="99">
        <f t="shared" si="2"/>
        <v>0</v>
      </c>
      <c r="W26" s="99"/>
      <c r="X26" s="99"/>
      <c r="Y26" s="99"/>
      <c r="Z26" s="99">
        <f t="shared" si="2"/>
        <v>0</v>
      </c>
      <c r="AA26" s="99">
        <f t="shared" si="2"/>
        <v>0</v>
      </c>
      <c r="AB26" s="99"/>
      <c r="AC26" s="99"/>
      <c r="AD26" s="99">
        <f t="shared" si="2"/>
        <v>0</v>
      </c>
      <c r="AE26" s="99"/>
      <c r="AF26" s="99">
        <f t="shared" si="2"/>
        <v>0</v>
      </c>
      <c r="AG26" s="99"/>
      <c r="AH26" s="99">
        <f t="shared" si="2"/>
        <v>0</v>
      </c>
      <c r="AI26" s="99"/>
      <c r="AJ26" s="99">
        <f t="shared" si="2"/>
        <v>0</v>
      </c>
      <c r="AK26" s="98">
        <f>SUM(H26:AJ26)</f>
        <v>3590352277.8244371</v>
      </c>
      <c r="AL26" s="95" t="str">
        <f>IF(ABS(AK26-F26)&lt;1,"ok","err")</f>
        <v>ok</v>
      </c>
    </row>
    <row r="27" spans="1:38" x14ac:dyDescent="0.25">
      <c r="AL27" s="95"/>
    </row>
    <row r="28" spans="1:38" x14ac:dyDescent="0.25">
      <c r="A28" s="15" t="s">
        <v>552</v>
      </c>
      <c r="Y28" s="94"/>
      <c r="AL28" s="95"/>
    </row>
    <row r="29" spans="1:38" x14ac:dyDescent="0.25">
      <c r="A29" s="100"/>
      <c r="B29" s="94" t="s">
        <v>2014</v>
      </c>
      <c r="C29" s="94" t="s">
        <v>553</v>
      </c>
      <c r="D29" s="94" t="s">
        <v>585</v>
      </c>
      <c r="F29" s="97">
        <f>'Jurisdictional Study'!F654</f>
        <v>528497002.23105335</v>
      </c>
      <c r="G29" s="97"/>
      <c r="H29" s="98">
        <f>IF(VLOOKUP($D29,$C$5:$AJ$646,6,)=0,0,((VLOOKUP($D29,$C$5:$AJ$646,6,)/VLOOKUP($D29,$C$5:$AJ$646,4,))*$F29))</f>
        <v>0</v>
      </c>
      <c r="I29" s="98">
        <f>IF(VLOOKUP($D29,$C$5:$AJ$646,7,)=0,0,((VLOOKUP($D29,$C$5:$AJ$646,7,)/VLOOKUP($D29,$C$5:$AJ$646,4,))*$F29))</f>
        <v>0</v>
      </c>
      <c r="J29" s="98">
        <f>IF(VLOOKUP($D29,$C$5:$AJ$646,8,)=0,0,((VLOOKUP($D29,$C$5:$AJ$646,8,)/VLOOKUP($D29,$C$5:$AJ$646,4,))*$F29))</f>
        <v>0</v>
      </c>
      <c r="K29" s="98">
        <f>IF(VLOOKUP($D29,$C$5:$AJ$646,9,)=0,0,((VLOOKUP($D29,$C$5:$AJ$646,9,)/VLOOKUP($D29,$C$5:$AJ$646,4,))*$F29))</f>
        <v>0</v>
      </c>
      <c r="L29" s="98">
        <f>IF(VLOOKUP($D29,$C$5:$AJ$646,10,)=0,0,((VLOOKUP($D29,$C$5:$AJ$646,10,)/VLOOKUP($D29,$C$5:$AJ$646,4,))*$F29))</f>
        <v>0</v>
      </c>
      <c r="M29" s="98">
        <f>IF(VLOOKUP($D29,$C$5:$AJ$646,11,)=0,0,((VLOOKUP($D29,$C$5:$AJ$646,11,)/VLOOKUP($D29,$C$5:$AJ$646,4,))*$F29))</f>
        <v>0</v>
      </c>
      <c r="N29" s="98"/>
      <c r="O29" s="98">
        <f>IF(VLOOKUP($D29,$C$5:$AJ$646,13,)=0,0,((VLOOKUP($D29,$C$5:$AJ$646,13,)/VLOOKUP($D29,$C$5:$AJ$646,4,))*$F29))</f>
        <v>181563283.33011764</v>
      </c>
      <c r="P29" s="98">
        <f>IF(VLOOKUP($D29,$C$5:$AJ$646,14,)=0,0,((VLOOKUP($D29,$C$5:$AJ$646,14,)/VLOOKUP($D29,$C$5:$AJ$646,4,))*$F29))</f>
        <v>171155667.1658093</v>
      </c>
      <c r="Q29" s="98">
        <f>IF(VLOOKUP($D29,$C$5:$AJ$646,15,)=0,0,((VLOOKUP($D29,$C$5:$AJ$646,15,)/VLOOKUP($D29,$C$5:$AJ$646,4,))*$F29))</f>
        <v>175778051.73512641</v>
      </c>
      <c r="R29" s="98"/>
      <c r="S29" s="98">
        <f>IF(VLOOKUP($D29,$C$5:$AJ$646,17,)=0,0,((VLOOKUP($D29,$C$5:$AJ$646,17,)/VLOOKUP($D29,$C$5:$AJ$646,4,))*$F29))</f>
        <v>0</v>
      </c>
      <c r="T29" s="98">
        <f>IF(VLOOKUP($D29,$C$5:$AJ$646,18,)=0,0,((VLOOKUP($D29,$C$5:$AJ$646,18,)/VLOOKUP($D29,$C$5:$AJ$646,4,))*$F29))</f>
        <v>0</v>
      </c>
      <c r="U29" s="98">
        <f>IF(VLOOKUP($D29,$C$5:$AJ$646,19,)=0,0,((VLOOKUP($D29,$C$5:$AJ$646,19,)/VLOOKUP($D29,$C$5:$AJ$646,4,))*$F29))</f>
        <v>0</v>
      </c>
      <c r="V29" s="98">
        <f>IF(VLOOKUP($D29,$C$5:$AJ$646,20,)=0,0,((VLOOKUP($D29,$C$5:$AJ$646,20,)/VLOOKUP($D29,$C$5:$AJ$646,4,))*$F29))</f>
        <v>0</v>
      </c>
      <c r="W29" s="98">
        <f>IF(VLOOKUP($D29,$C$5:$AJ$646,21,)=0,0,((VLOOKUP($D29,$C$5:$AJ$646,21,)/VLOOKUP($D29,$C$5:$AJ$646,4,))*$F29))</f>
        <v>0</v>
      </c>
      <c r="X29" s="98">
        <f>IF(VLOOKUP($D29,$C$5:$AJ$646,22,)=0,0,((VLOOKUP($D29,$C$5:$AJ$646,22,)/VLOOKUP($D29,$C$5:$AJ$646,4,))*$F29))</f>
        <v>0</v>
      </c>
      <c r="Y29" s="98">
        <f>IF(VLOOKUP($D29,$C$5:$AJ$646,23,)=0,0,((VLOOKUP($D29,$C$5:$AJ$646,23,)/VLOOKUP($D29,$C$5:$AJ$646,4,))*$F29))</f>
        <v>0</v>
      </c>
      <c r="Z29" s="98">
        <f>IF(VLOOKUP($D29,$C$5:$AJ$646,24,)=0,0,((VLOOKUP($D29,$C$5:$AJ$646,24,)/VLOOKUP($D29,$C$5:$AJ$646,4,))*$F29))</f>
        <v>0</v>
      </c>
      <c r="AA29" s="98">
        <f>IF(VLOOKUP($D29,$C$5:$AJ$646,25,)=0,0,((VLOOKUP($D29,$C$5:$AJ$646,25,)/VLOOKUP($D29,$C$5:$AJ$646,4,))*$F29))</f>
        <v>0</v>
      </c>
      <c r="AB29" s="98">
        <f>IF(VLOOKUP($D29,$C$5:$AJ$646,26,)=0,0,((VLOOKUP($D29,$C$5:$AJ$646,26,)/VLOOKUP($D29,$C$5:$AJ$646,4,))*$F29))</f>
        <v>0</v>
      </c>
      <c r="AC29" s="98">
        <f>IF(VLOOKUP($D29,$C$5:$AJ$646,27,)=0,0,((VLOOKUP($D29,$C$5:$AJ$646,27,)/VLOOKUP($D29,$C$5:$AJ$646,4,))*$F29))</f>
        <v>0</v>
      </c>
      <c r="AD29" s="98">
        <f>IF(VLOOKUP($D29,$C$5:$AJ$646,28,)=0,0,((VLOOKUP($D29,$C$5:$AJ$646,28,)/VLOOKUP($D29,$C$5:$AJ$646,4,))*$F29))</f>
        <v>0</v>
      </c>
      <c r="AE29" s="98"/>
      <c r="AF29" s="98">
        <f>IF(VLOOKUP($D29,$C$5:$AJ$646,30,)=0,0,((VLOOKUP($D29,$C$5:$AJ$646,30,)/VLOOKUP($D29,$C$5:$AJ$646,4,))*$F29))</f>
        <v>0</v>
      </c>
      <c r="AG29" s="98"/>
      <c r="AH29" s="98">
        <f>IF(VLOOKUP($D29,$C$5:$AJ$646,32,)=0,0,((VLOOKUP($D29,$C$5:$AJ$646,32,)/VLOOKUP($D29,$C$5:$AJ$646,4,))*$F29))</f>
        <v>0</v>
      </c>
      <c r="AI29" s="98"/>
      <c r="AJ29" s="98">
        <f>IF(VLOOKUP($D29,$C$5:$AJ$646,34,)=0,0,((VLOOKUP($D29,$C$5:$AJ$646,34,)/VLOOKUP($D29,$C$5:$AJ$646,4,))*$F29))</f>
        <v>0</v>
      </c>
      <c r="AK29" s="98">
        <f>SUM(H29:AJ29)</f>
        <v>528497002.23105335</v>
      </c>
      <c r="AL29" s="95" t="str">
        <f>IF(ABS(AK29-F29)&lt;1,"ok","err")</f>
        <v>ok</v>
      </c>
    </row>
    <row r="30" spans="1:38" x14ac:dyDescent="0.25">
      <c r="A30" s="100"/>
      <c r="B30" s="94" t="s">
        <v>2015</v>
      </c>
      <c r="C30" s="94" t="s">
        <v>1703</v>
      </c>
      <c r="D30" s="94" t="s">
        <v>585</v>
      </c>
      <c r="F30" s="98">
        <f>'Jurisdictional Study'!F674</f>
        <v>7504807.6519980747</v>
      </c>
      <c r="G30" s="97"/>
      <c r="H30" s="98">
        <f>IF(VLOOKUP($D30,$C$5:$AJ$646,6,)=0,0,((VLOOKUP($D30,$C$5:$AJ$646,6,)/VLOOKUP($D30,$C$5:$AJ$646,4,))*$F30))</f>
        <v>0</v>
      </c>
      <c r="I30" s="98">
        <f>IF(VLOOKUP($D30,$C$5:$AJ$646,7,)=0,0,((VLOOKUP($D30,$C$5:$AJ$646,7,)/VLOOKUP($D30,$C$5:$AJ$646,4,))*$F30))</f>
        <v>0</v>
      </c>
      <c r="J30" s="98">
        <f>IF(VLOOKUP($D30,$C$5:$AJ$646,8,)=0,0,((VLOOKUP($D30,$C$5:$AJ$646,8,)/VLOOKUP($D30,$C$5:$AJ$646,4,))*$F30))</f>
        <v>0</v>
      </c>
      <c r="K30" s="98">
        <f>IF(VLOOKUP($D30,$C$5:$AJ$646,9,)=0,0,((VLOOKUP($D30,$C$5:$AJ$646,9,)/VLOOKUP($D30,$C$5:$AJ$646,4,))*$F30))</f>
        <v>0</v>
      </c>
      <c r="L30" s="98">
        <f>IF(VLOOKUP($D30,$C$5:$AJ$646,10,)=0,0,((VLOOKUP($D30,$C$5:$AJ$646,10,)/VLOOKUP($D30,$C$5:$AJ$646,4,))*$F30))</f>
        <v>0</v>
      </c>
      <c r="M30" s="98">
        <f>IF(VLOOKUP($D30,$C$5:$AJ$646,11,)=0,0,((VLOOKUP($D30,$C$5:$AJ$646,11,)/VLOOKUP($D30,$C$5:$AJ$646,4,))*$F30))</f>
        <v>0</v>
      </c>
      <c r="N30" s="98"/>
      <c r="O30" s="98">
        <f>IF(VLOOKUP($D30,$C$5:$AJ$646,13,)=0,0,((VLOOKUP($D30,$C$5:$AJ$646,13,)/VLOOKUP($D30,$C$5:$AJ$646,4,))*$F30))</f>
        <v>2578250.2309484207</v>
      </c>
      <c r="P30" s="98">
        <f>IF(VLOOKUP($D30,$C$5:$AJ$646,14,)=0,0,((VLOOKUP($D30,$C$5:$AJ$646,14,)/VLOOKUP($D30,$C$5:$AJ$646,4,))*$F30))</f>
        <v>2430459.1231479407</v>
      </c>
      <c r="Q30" s="98">
        <f>IF(VLOOKUP($D30,$C$5:$AJ$646,15,)=0,0,((VLOOKUP($D30,$C$5:$AJ$646,15,)/VLOOKUP($D30,$C$5:$AJ$646,4,))*$F30))</f>
        <v>2496098.2979017128</v>
      </c>
      <c r="R30" s="98"/>
      <c r="S30" s="98">
        <f>IF(VLOOKUP($D30,$C$5:$AJ$646,17,)=0,0,((VLOOKUP($D30,$C$5:$AJ$646,17,)/VLOOKUP($D30,$C$5:$AJ$646,4,))*$F30))</f>
        <v>0</v>
      </c>
      <c r="T30" s="98">
        <f>IF(VLOOKUP($D30,$C$5:$AJ$646,18,)=0,0,((VLOOKUP($D30,$C$5:$AJ$646,18,)/VLOOKUP($D30,$C$5:$AJ$646,4,))*$F30))</f>
        <v>0</v>
      </c>
      <c r="U30" s="98">
        <f>IF(VLOOKUP($D30,$C$5:$AJ$646,19,)=0,0,((VLOOKUP($D30,$C$5:$AJ$646,19,)/VLOOKUP($D30,$C$5:$AJ$646,4,))*$F30))</f>
        <v>0</v>
      </c>
      <c r="V30" s="98">
        <f>IF(VLOOKUP($D30,$C$5:$AJ$646,20,)=0,0,((VLOOKUP($D30,$C$5:$AJ$646,20,)/VLOOKUP($D30,$C$5:$AJ$646,4,))*$F30))</f>
        <v>0</v>
      </c>
      <c r="W30" s="98">
        <f>IF(VLOOKUP($D30,$C$5:$AJ$646,21,)=0,0,((VLOOKUP($D30,$C$5:$AJ$646,21,)/VLOOKUP($D30,$C$5:$AJ$646,4,))*$F30))</f>
        <v>0</v>
      </c>
      <c r="X30" s="98">
        <f>IF(VLOOKUP($D30,$C$5:$AJ$646,22,)=0,0,((VLOOKUP($D30,$C$5:$AJ$646,22,)/VLOOKUP($D30,$C$5:$AJ$646,4,))*$F30))</f>
        <v>0</v>
      </c>
      <c r="Y30" s="98">
        <f>IF(VLOOKUP($D30,$C$5:$AJ$646,23,)=0,0,((VLOOKUP($D30,$C$5:$AJ$646,23,)/VLOOKUP($D30,$C$5:$AJ$646,4,))*$F30))</f>
        <v>0</v>
      </c>
      <c r="Z30" s="98">
        <f>IF(VLOOKUP($D30,$C$5:$AJ$646,24,)=0,0,((VLOOKUP($D30,$C$5:$AJ$646,24,)/VLOOKUP($D30,$C$5:$AJ$646,4,))*$F30))</f>
        <v>0</v>
      </c>
      <c r="AA30" s="98">
        <f>IF(VLOOKUP($D30,$C$5:$AJ$646,25,)=0,0,((VLOOKUP($D30,$C$5:$AJ$646,25,)/VLOOKUP($D30,$C$5:$AJ$646,4,))*$F30))</f>
        <v>0</v>
      </c>
      <c r="AB30" s="98">
        <f>IF(VLOOKUP($D30,$C$5:$AJ$646,26,)=0,0,((VLOOKUP($D30,$C$5:$AJ$646,26,)/VLOOKUP($D30,$C$5:$AJ$646,4,))*$F30))</f>
        <v>0</v>
      </c>
      <c r="AC30" s="98">
        <f>IF(VLOOKUP($D30,$C$5:$AJ$646,27,)=0,0,((VLOOKUP($D30,$C$5:$AJ$646,27,)/VLOOKUP($D30,$C$5:$AJ$646,4,))*$F30))</f>
        <v>0</v>
      </c>
      <c r="AD30" s="98">
        <f>IF(VLOOKUP($D30,$C$5:$AJ$646,28,)=0,0,((VLOOKUP($D30,$C$5:$AJ$646,28,)/VLOOKUP($D30,$C$5:$AJ$646,4,))*$F30))</f>
        <v>0</v>
      </c>
      <c r="AE30" s="98"/>
      <c r="AF30" s="98">
        <f>IF(VLOOKUP($D30,$C$5:$AJ$646,30,)=0,0,((VLOOKUP($D30,$C$5:$AJ$646,30,)/VLOOKUP($D30,$C$5:$AJ$646,4,))*$F30))</f>
        <v>0</v>
      </c>
      <c r="AG30" s="98"/>
      <c r="AH30" s="98">
        <f>IF(VLOOKUP($D30,$C$5:$AJ$646,32,)=0,0,((VLOOKUP($D30,$C$5:$AJ$646,32,)/VLOOKUP($D30,$C$5:$AJ$646,4,))*$F30))</f>
        <v>0</v>
      </c>
      <c r="AI30" s="98"/>
      <c r="AJ30" s="98">
        <f>IF(VLOOKUP($D30,$C$5:$AJ$646,34,)=0,0,((VLOOKUP($D30,$C$5:$AJ$646,34,)/VLOOKUP($D30,$C$5:$AJ$646,4,))*$F30))</f>
        <v>0</v>
      </c>
      <c r="AK30" s="98">
        <f>SUM(H30:AJ30)</f>
        <v>7504807.6519980747</v>
      </c>
      <c r="AL30" s="95" t="str">
        <f>IF(ABS(AK30-F30)&lt;1,"ok","err")</f>
        <v>ok</v>
      </c>
    </row>
    <row r="31" spans="1:38" x14ac:dyDescent="0.25">
      <c r="Y31" s="94"/>
      <c r="AK31" s="98"/>
      <c r="AL31" s="95"/>
    </row>
    <row r="32" spans="1:38" x14ac:dyDescent="0.25">
      <c r="B32" s="94" t="s">
        <v>556</v>
      </c>
      <c r="C32" s="94" t="s">
        <v>584</v>
      </c>
      <c r="F32" s="99">
        <f>SUM(F29:F31)</f>
        <v>536001809.88305146</v>
      </c>
      <c r="G32" s="99"/>
      <c r="H32" s="99">
        <f t="shared" ref="H32:M32" si="3">SUM(H29:H31)</f>
        <v>0</v>
      </c>
      <c r="I32" s="99">
        <f t="shared" si="3"/>
        <v>0</v>
      </c>
      <c r="J32" s="99">
        <f t="shared" si="3"/>
        <v>0</v>
      </c>
      <c r="K32" s="99">
        <f t="shared" si="3"/>
        <v>0</v>
      </c>
      <c r="L32" s="99">
        <f t="shared" si="3"/>
        <v>0</v>
      </c>
      <c r="M32" s="99">
        <f t="shared" si="3"/>
        <v>0</v>
      </c>
      <c r="N32" s="99"/>
      <c r="O32" s="99">
        <f>SUM(O29:O31)</f>
        <v>184141533.56106606</v>
      </c>
      <c r="P32" s="99">
        <f>SUM(P29:P31)</f>
        <v>173586126.28895724</v>
      </c>
      <c r="Q32" s="99">
        <f>SUM(Q29:Q31)</f>
        <v>178274150.03302813</v>
      </c>
      <c r="R32" s="99"/>
      <c r="S32" s="99">
        <f t="shared" ref="S32:AD32" si="4">SUM(S29:S31)</f>
        <v>0</v>
      </c>
      <c r="T32" s="99">
        <f t="shared" si="4"/>
        <v>0</v>
      </c>
      <c r="U32" s="99">
        <f t="shared" si="4"/>
        <v>0</v>
      </c>
      <c r="V32" s="99">
        <f t="shared" si="4"/>
        <v>0</v>
      </c>
      <c r="W32" s="99">
        <f t="shared" si="4"/>
        <v>0</v>
      </c>
      <c r="X32" s="99">
        <f t="shared" si="4"/>
        <v>0</v>
      </c>
      <c r="Y32" s="99">
        <f t="shared" si="4"/>
        <v>0</v>
      </c>
      <c r="Z32" s="99">
        <f t="shared" si="4"/>
        <v>0</v>
      </c>
      <c r="AA32" s="99">
        <f t="shared" si="4"/>
        <v>0</v>
      </c>
      <c r="AB32" s="99">
        <f t="shared" si="4"/>
        <v>0</v>
      </c>
      <c r="AC32" s="99">
        <f t="shared" si="4"/>
        <v>0</v>
      </c>
      <c r="AD32" s="99">
        <f t="shared" si="4"/>
        <v>0</v>
      </c>
      <c r="AE32" s="99"/>
      <c r="AF32" s="99">
        <f>SUM(AF29:AF31)</f>
        <v>0</v>
      </c>
      <c r="AG32" s="99"/>
      <c r="AH32" s="99">
        <f>SUM(AH29:AH31)</f>
        <v>0</v>
      </c>
      <c r="AI32" s="99"/>
      <c r="AJ32" s="99">
        <f>SUM(AJ29:AJ31)</f>
        <v>0</v>
      </c>
      <c r="AK32" s="98">
        <f>SUM(H32:AJ32)</f>
        <v>536001809.8830514</v>
      </c>
      <c r="AL32" s="95" t="str">
        <f>IF(ABS(AK32-F32)&lt;1,"ok","err")</f>
        <v>ok</v>
      </c>
    </row>
    <row r="33" spans="1:38" x14ac:dyDescent="0.25">
      <c r="Y33" s="94"/>
      <c r="AL33" s="95"/>
    </row>
    <row r="34" spans="1:38" x14ac:dyDescent="0.25">
      <c r="A34" s="15" t="s">
        <v>132</v>
      </c>
      <c r="Y34" s="94"/>
      <c r="AL34" s="95"/>
    </row>
    <row r="35" spans="1:38" x14ac:dyDescent="0.25">
      <c r="A35" s="100"/>
      <c r="B35" s="101" t="s">
        <v>2016</v>
      </c>
      <c r="C35" s="94" t="s">
        <v>133</v>
      </c>
      <c r="D35" s="94" t="s">
        <v>134</v>
      </c>
      <c r="F35" s="97">
        <f>'Jurisdictional Study'!F682+'Jurisdictional Study'!F683+'Jurisdictional Study'!F684</f>
        <v>146452780.45999998</v>
      </c>
      <c r="H35" s="98">
        <f t="shared" ref="H35:H43" si="5">IF(VLOOKUP($D35,$C$5:$AJ$646,6,)=0,0,((VLOOKUP($D35,$C$5:$AJ$646,6,)/VLOOKUP($D35,$C$5:$AJ$646,4,))*$F35))</f>
        <v>0</v>
      </c>
      <c r="I35" s="98">
        <f t="shared" ref="I35:I43" si="6">IF(VLOOKUP($D35,$C$5:$AJ$646,7,)=0,0,((VLOOKUP($D35,$C$5:$AJ$646,7,)/VLOOKUP($D35,$C$5:$AJ$646,4,))*$F35))</f>
        <v>0</v>
      </c>
      <c r="J35" s="98">
        <f t="shared" ref="J35:J43" si="7">IF(VLOOKUP($D35,$C$5:$AJ$646,8,)=0,0,((VLOOKUP($D35,$C$5:$AJ$646,8,)/VLOOKUP($D35,$C$5:$AJ$646,4,))*$F35))</f>
        <v>0</v>
      </c>
      <c r="K35" s="98">
        <f t="shared" ref="K35:K43" si="8">IF(VLOOKUP($D35,$C$5:$AJ$646,9,)=0,0,((VLOOKUP($D35,$C$5:$AJ$646,9,)/VLOOKUP($D35,$C$5:$AJ$646,4,))*$F35))</f>
        <v>0</v>
      </c>
      <c r="L35" s="98">
        <f t="shared" ref="L35:L43" si="9">IF(VLOOKUP($D35,$C$5:$AJ$646,10,)=0,0,((VLOOKUP($D35,$C$5:$AJ$646,10,)/VLOOKUP($D35,$C$5:$AJ$646,4,))*$F35))</f>
        <v>0</v>
      </c>
      <c r="M35" s="98">
        <f t="shared" ref="M35:M43" si="10">IF(VLOOKUP($D35,$C$5:$AJ$646,11,)=0,0,((VLOOKUP($D35,$C$5:$AJ$646,11,)/VLOOKUP($D35,$C$5:$AJ$646,4,))*$F35))</f>
        <v>0</v>
      </c>
      <c r="N35" s="98"/>
      <c r="O35" s="98">
        <f t="shared" ref="O35:O43" si="11">IF(VLOOKUP($D35,$C$5:$AJ$646,13,)=0,0,((VLOOKUP($D35,$C$5:$AJ$646,13,)/VLOOKUP($D35,$C$5:$AJ$646,4,))*$F35))</f>
        <v>0</v>
      </c>
      <c r="P35" s="98">
        <f t="shared" ref="P35:P43" si="12">IF(VLOOKUP($D35,$C$5:$AJ$646,14,)=0,0,((VLOOKUP($D35,$C$5:$AJ$646,14,)/VLOOKUP($D35,$C$5:$AJ$646,4,))*$F35))</f>
        <v>0</v>
      </c>
      <c r="Q35" s="98">
        <f t="shared" ref="Q35:Q43" si="13">IF(VLOOKUP($D35,$C$5:$AJ$646,15,)=0,0,((VLOOKUP($D35,$C$5:$AJ$646,15,)/VLOOKUP($D35,$C$5:$AJ$646,4,))*$F35))</f>
        <v>0</v>
      </c>
      <c r="R35" s="98"/>
      <c r="S35" s="98">
        <f t="shared" ref="S35:S43" si="14">IF(VLOOKUP($D35,$C$5:$AJ$646,17,)=0,0,((VLOOKUP($D35,$C$5:$AJ$646,17,)/VLOOKUP($D35,$C$5:$AJ$646,4,))*$F35))</f>
        <v>0</v>
      </c>
      <c r="T35" s="98">
        <f t="shared" ref="T35:T43" si="15">IF(VLOOKUP($D35,$C$5:$AJ$646,18,)=0,0,((VLOOKUP($D35,$C$5:$AJ$646,18,)/VLOOKUP($D35,$C$5:$AJ$646,4,))*$F35))</f>
        <v>146452780.45999998</v>
      </c>
      <c r="U35" s="98">
        <f t="shared" ref="U35:U43" si="16">IF(VLOOKUP($D35,$C$5:$AJ$646,19,)=0,0,((VLOOKUP($D35,$C$5:$AJ$646,19,)/VLOOKUP($D35,$C$5:$AJ$646,4,))*$F35))</f>
        <v>0</v>
      </c>
      <c r="V35" s="98">
        <f t="shared" ref="V35:V43" si="17">IF(VLOOKUP($D35,$C$5:$AJ$646,20,)=0,0,((VLOOKUP($D35,$C$5:$AJ$646,20,)/VLOOKUP($D35,$C$5:$AJ$646,4,))*$F35))</f>
        <v>0</v>
      </c>
      <c r="W35" s="98">
        <f t="shared" ref="W35:W43" si="18">IF(VLOOKUP($D35,$C$5:$AJ$646,21,)=0,0,((VLOOKUP($D35,$C$5:$AJ$646,21,)/VLOOKUP($D35,$C$5:$AJ$646,4,))*$F35))</f>
        <v>0</v>
      </c>
      <c r="X35" s="98">
        <f t="shared" ref="X35:X43" si="19">IF(VLOOKUP($D35,$C$5:$AJ$646,22,)=0,0,((VLOOKUP($D35,$C$5:$AJ$646,22,)/VLOOKUP($D35,$C$5:$AJ$646,4,))*$F35))</f>
        <v>0</v>
      </c>
      <c r="Y35" s="98">
        <f t="shared" ref="Y35:Y43" si="20">IF(VLOOKUP($D35,$C$5:$AJ$646,23,)=0,0,((VLOOKUP($D35,$C$5:$AJ$646,23,)/VLOOKUP($D35,$C$5:$AJ$646,4,))*$F35))</f>
        <v>0</v>
      </c>
      <c r="Z35" s="98">
        <f t="shared" ref="Z35:Z43" si="21">IF(VLOOKUP($D35,$C$5:$AJ$646,24,)=0,0,((VLOOKUP($D35,$C$5:$AJ$646,24,)/VLOOKUP($D35,$C$5:$AJ$646,4,))*$F35))</f>
        <v>0</v>
      </c>
      <c r="AA35" s="98">
        <f t="shared" ref="AA35:AA43" si="22">IF(VLOOKUP($D35,$C$5:$AJ$646,25,)=0,0,((VLOOKUP($D35,$C$5:$AJ$646,25,)/VLOOKUP($D35,$C$5:$AJ$646,4,))*$F35))</f>
        <v>0</v>
      </c>
      <c r="AB35" s="98">
        <f t="shared" ref="AB35:AB43" si="23">IF(VLOOKUP($D35,$C$5:$AJ$646,26,)=0,0,((VLOOKUP($D35,$C$5:$AJ$646,26,)/VLOOKUP($D35,$C$5:$AJ$646,4,))*$F35))</f>
        <v>0</v>
      </c>
      <c r="AC35" s="98">
        <f t="shared" ref="AC35:AC43" si="24">IF(VLOOKUP($D35,$C$5:$AJ$646,27,)=0,0,((VLOOKUP($D35,$C$5:$AJ$646,27,)/VLOOKUP($D35,$C$5:$AJ$646,4,))*$F35))</f>
        <v>0</v>
      </c>
      <c r="AD35" s="98">
        <f t="shared" ref="AD35:AD43" si="25">IF(VLOOKUP($D35,$C$5:$AJ$646,28,)=0,0,((VLOOKUP($D35,$C$5:$AJ$646,28,)/VLOOKUP($D35,$C$5:$AJ$646,4,))*$F35))</f>
        <v>0</v>
      </c>
      <c r="AE35" s="98"/>
      <c r="AF35" s="98">
        <f t="shared" ref="AF35:AF43" si="26">IF(VLOOKUP($D35,$C$5:$AJ$646,30,)=0,0,((VLOOKUP($D35,$C$5:$AJ$646,30,)/VLOOKUP($D35,$C$5:$AJ$646,4,))*$F35))</f>
        <v>0</v>
      </c>
      <c r="AG35" s="98"/>
      <c r="AH35" s="98">
        <f t="shared" ref="AH35:AH43" si="27">IF(VLOOKUP($D35,$C$5:$AJ$646,32,)=0,0,((VLOOKUP($D35,$C$5:$AJ$646,32,)/VLOOKUP($D35,$C$5:$AJ$646,4,))*$F35))</f>
        <v>0</v>
      </c>
      <c r="AI35" s="98"/>
      <c r="AJ35" s="98">
        <f t="shared" ref="AJ35:AJ43" si="28">IF(VLOOKUP($D35,$C$5:$AJ$646,34,)=0,0,((VLOOKUP($D35,$C$5:$AJ$646,34,)/VLOOKUP($D35,$C$5:$AJ$646,4,))*$F35))</f>
        <v>0</v>
      </c>
      <c r="AK35" s="98">
        <f t="shared" ref="AK35:AK42" si="29">SUM(H35:AJ35)</f>
        <v>146452780.45999998</v>
      </c>
      <c r="AL35" s="95" t="str">
        <f t="shared" ref="AL35:AL42" si="30">IF(ABS(AK35-F35)&lt;1,"ok","err")</f>
        <v>ok</v>
      </c>
    </row>
    <row r="36" spans="1:38" x14ac:dyDescent="0.25">
      <c r="A36" s="100"/>
      <c r="B36" s="101" t="s">
        <v>2017</v>
      </c>
      <c r="C36" s="94" t="s">
        <v>136</v>
      </c>
      <c r="D36" s="94" t="s">
        <v>137</v>
      </c>
      <c r="F36" s="98">
        <f>'Jurisdictional Study'!F685+'Jurisdictional Study'!F686</f>
        <v>537135304.86999989</v>
      </c>
      <c r="H36" s="98">
        <f t="shared" si="5"/>
        <v>0</v>
      </c>
      <c r="I36" s="98">
        <f t="shared" si="6"/>
        <v>0</v>
      </c>
      <c r="J36" s="98">
        <f t="shared" si="7"/>
        <v>0</v>
      </c>
      <c r="K36" s="98">
        <f t="shared" si="8"/>
        <v>0</v>
      </c>
      <c r="L36" s="98">
        <f t="shared" si="9"/>
        <v>0</v>
      </c>
      <c r="M36" s="98">
        <f t="shared" si="10"/>
        <v>0</v>
      </c>
      <c r="N36" s="98"/>
      <c r="O36" s="98">
        <f t="shared" si="11"/>
        <v>0</v>
      </c>
      <c r="P36" s="98">
        <f t="shared" si="12"/>
        <v>0</v>
      </c>
      <c r="Q36" s="98">
        <f t="shared" si="13"/>
        <v>0</v>
      </c>
      <c r="R36" s="98"/>
      <c r="S36" s="98">
        <f t="shared" si="14"/>
        <v>0</v>
      </c>
      <c r="T36" s="98">
        <f t="shared" si="15"/>
        <v>0</v>
      </c>
      <c r="U36" s="98">
        <f t="shared" si="16"/>
        <v>0</v>
      </c>
      <c r="V36" s="98">
        <f t="shared" si="17"/>
        <v>207417483.65207478</v>
      </c>
      <c r="W36" s="98">
        <f t="shared" si="18"/>
        <v>249147525.48742506</v>
      </c>
      <c r="X36" s="98">
        <f t="shared" si="19"/>
        <v>36603085.350366138</v>
      </c>
      <c r="Y36" s="98">
        <f t="shared" si="20"/>
        <v>43967210.380133837</v>
      </c>
      <c r="Z36" s="98">
        <f t="shared" si="21"/>
        <v>0</v>
      </c>
      <c r="AA36" s="98">
        <f t="shared" si="22"/>
        <v>0</v>
      </c>
      <c r="AB36" s="98">
        <f t="shared" si="23"/>
        <v>0</v>
      </c>
      <c r="AC36" s="98">
        <f t="shared" si="24"/>
        <v>0</v>
      </c>
      <c r="AD36" s="98">
        <f t="shared" si="25"/>
        <v>0</v>
      </c>
      <c r="AE36" s="98"/>
      <c r="AF36" s="98">
        <f t="shared" si="26"/>
        <v>0</v>
      </c>
      <c r="AG36" s="98"/>
      <c r="AH36" s="98">
        <f t="shared" si="27"/>
        <v>0</v>
      </c>
      <c r="AI36" s="98"/>
      <c r="AJ36" s="98">
        <f t="shared" si="28"/>
        <v>0</v>
      </c>
      <c r="AK36" s="98">
        <f t="shared" si="29"/>
        <v>537135304.86999977</v>
      </c>
      <c r="AL36" s="95" t="str">
        <f t="shared" si="30"/>
        <v>ok</v>
      </c>
    </row>
    <row r="37" spans="1:38" x14ac:dyDescent="0.25">
      <c r="A37" s="100"/>
      <c r="B37" s="101" t="s">
        <v>2018</v>
      </c>
      <c r="C37" s="94" t="s">
        <v>139</v>
      </c>
      <c r="D37" s="94" t="s">
        <v>138</v>
      </c>
      <c r="F37" s="98">
        <f>'Jurisdictional Study'!F687+'Jurisdictional Study'!F688</f>
        <v>141341084.22999999</v>
      </c>
      <c r="H37" s="98">
        <f t="shared" si="5"/>
        <v>0</v>
      </c>
      <c r="I37" s="98">
        <f t="shared" si="6"/>
        <v>0</v>
      </c>
      <c r="J37" s="98">
        <f t="shared" si="7"/>
        <v>0</v>
      </c>
      <c r="K37" s="98">
        <f t="shared" si="8"/>
        <v>0</v>
      </c>
      <c r="L37" s="98">
        <f t="shared" si="9"/>
        <v>0</v>
      </c>
      <c r="M37" s="98">
        <f t="shared" si="10"/>
        <v>0</v>
      </c>
      <c r="N37" s="98"/>
      <c r="O37" s="98">
        <f t="shared" si="11"/>
        <v>0</v>
      </c>
      <c r="P37" s="98">
        <f t="shared" si="12"/>
        <v>0</v>
      </c>
      <c r="Q37" s="98">
        <f t="shared" si="13"/>
        <v>0</v>
      </c>
      <c r="R37" s="98"/>
      <c r="S37" s="98">
        <f t="shared" si="14"/>
        <v>0</v>
      </c>
      <c r="T37" s="98">
        <f t="shared" si="15"/>
        <v>0</v>
      </c>
      <c r="U37" s="98">
        <f t="shared" si="16"/>
        <v>0</v>
      </c>
      <c r="V37" s="98">
        <f t="shared" si="17"/>
        <v>29782686.563524451</v>
      </c>
      <c r="W37" s="98">
        <f t="shared" si="18"/>
        <v>90357235.031975538</v>
      </c>
      <c r="X37" s="98">
        <f t="shared" si="19"/>
        <v>5255768.2170925504</v>
      </c>
      <c r="Y37" s="98">
        <f t="shared" si="20"/>
        <v>15945394.417407449</v>
      </c>
      <c r="Z37" s="98">
        <f t="shared" si="21"/>
        <v>0</v>
      </c>
      <c r="AA37" s="98">
        <f t="shared" si="22"/>
        <v>0</v>
      </c>
      <c r="AB37" s="98">
        <f t="shared" si="23"/>
        <v>0</v>
      </c>
      <c r="AC37" s="98">
        <f t="shared" si="24"/>
        <v>0</v>
      </c>
      <c r="AD37" s="98">
        <f t="shared" si="25"/>
        <v>0</v>
      </c>
      <c r="AE37" s="98"/>
      <c r="AF37" s="98">
        <f t="shared" si="26"/>
        <v>0</v>
      </c>
      <c r="AG37" s="98"/>
      <c r="AH37" s="98">
        <f t="shared" si="27"/>
        <v>0</v>
      </c>
      <c r="AI37" s="98"/>
      <c r="AJ37" s="98">
        <f t="shared" si="28"/>
        <v>0</v>
      </c>
      <c r="AK37" s="98">
        <f t="shared" si="29"/>
        <v>141341084.22999999</v>
      </c>
      <c r="AL37" s="95" t="str">
        <f t="shared" si="30"/>
        <v>ok</v>
      </c>
    </row>
    <row r="38" spans="1:38" x14ac:dyDescent="0.25">
      <c r="A38" s="100"/>
      <c r="B38" s="101" t="s">
        <v>2019</v>
      </c>
      <c r="C38" s="94" t="s">
        <v>140</v>
      </c>
      <c r="D38" s="94" t="s">
        <v>141</v>
      </c>
      <c r="F38" s="98">
        <f>'Jurisdictional Study'!F690</f>
        <v>5409429.2561249696</v>
      </c>
      <c r="H38" s="98">
        <f t="shared" si="5"/>
        <v>0</v>
      </c>
      <c r="I38" s="98">
        <f t="shared" si="6"/>
        <v>0</v>
      </c>
      <c r="J38" s="98">
        <f t="shared" si="7"/>
        <v>0</v>
      </c>
      <c r="K38" s="98">
        <f t="shared" si="8"/>
        <v>0</v>
      </c>
      <c r="L38" s="98">
        <f t="shared" si="9"/>
        <v>0</v>
      </c>
      <c r="M38" s="98">
        <f t="shared" si="10"/>
        <v>0</v>
      </c>
      <c r="N38" s="98"/>
      <c r="O38" s="98">
        <f t="shared" si="11"/>
        <v>0</v>
      </c>
      <c r="P38" s="98">
        <f t="shared" si="12"/>
        <v>0</v>
      </c>
      <c r="Q38" s="98">
        <f t="shared" si="13"/>
        <v>0</v>
      </c>
      <c r="R38" s="98"/>
      <c r="S38" s="98">
        <f t="shared" si="14"/>
        <v>0</v>
      </c>
      <c r="T38" s="98">
        <f t="shared" si="15"/>
        <v>0</v>
      </c>
      <c r="U38" s="98">
        <f t="shared" si="16"/>
        <v>0</v>
      </c>
      <c r="V38" s="98">
        <f t="shared" si="17"/>
        <v>0</v>
      </c>
      <c r="W38" s="98">
        <f t="shared" si="18"/>
        <v>0</v>
      </c>
      <c r="X38" s="98">
        <f t="shared" si="19"/>
        <v>0</v>
      </c>
      <c r="Y38" s="98">
        <f t="shared" si="20"/>
        <v>0</v>
      </c>
      <c r="Z38" s="98">
        <f t="shared" si="21"/>
        <v>2915141.4261257462</v>
      </c>
      <c r="AA38" s="98">
        <f t="shared" si="22"/>
        <v>2494287.8299992234</v>
      </c>
      <c r="AB38" s="98">
        <f t="shared" si="23"/>
        <v>0</v>
      </c>
      <c r="AC38" s="98">
        <f t="shared" si="24"/>
        <v>0</v>
      </c>
      <c r="AD38" s="98">
        <f t="shared" si="25"/>
        <v>0</v>
      </c>
      <c r="AE38" s="98"/>
      <c r="AF38" s="98">
        <f t="shared" si="26"/>
        <v>0</v>
      </c>
      <c r="AG38" s="98"/>
      <c r="AH38" s="98">
        <f t="shared" si="27"/>
        <v>0</v>
      </c>
      <c r="AI38" s="98"/>
      <c r="AJ38" s="98">
        <f t="shared" si="28"/>
        <v>0</v>
      </c>
      <c r="AK38" s="98">
        <f t="shared" si="29"/>
        <v>5409429.2561249696</v>
      </c>
      <c r="AL38" s="95" t="str">
        <f t="shared" si="30"/>
        <v>ok</v>
      </c>
    </row>
    <row r="39" spans="1:38" x14ac:dyDescent="0.25">
      <c r="A39" s="100"/>
      <c r="B39" s="101" t="s">
        <v>2020</v>
      </c>
      <c r="C39" s="94" t="s">
        <v>2078</v>
      </c>
      <c r="D39" s="94" t="s">
        <v>141</v>
      </c>
      <c r="F39" s="98">
        <f>'Jurisdictional Study'!F691</f>
        <v>267984931.00000003</v>
      </c>
      <c r="H39" s="98">
        <f t="shared" si="5"/>
        <v>0</v>
      </c>
      <c r="I39" s="98">
        <f t="shared" si="6"/>
        <v>0</v>
      </c>
      <c r="J39" s="98">
        <f t="shared" si="7"/>
        <v>0</v>
      </c>
      <c r="K39" s="98">
        <f t="shared" si="8"/>
        <v>0</v>
      </c>
      <c r="L39" s="98">
        <f t="shared" si="9"/>
        <v>0</v>
      </c>
      <c r="M39" s="98">
        <f t="shared" si="10"/>
        <v>0</v>
      </c>
      <c r="N39" s="98"/>
      <c r="O39" s="98">
        <f t="shared" si="11"/>
        <v>0</v>
      </c>
      <c r="P39" s="98">
        <f t="shared" si="12"/>
        <v>0</v>
      </c>
      <c r="Q39" s="98">
        <f t="shared" si="13"/>
        <v>0</v>
      </c>
      <c r="R39" s="98"/>
      <c r="S39" s="98">
        <f t="shared" si="14"/>
        <v>0</v>
      </c>
      <c r="T39" s="98">
        <f t="shared" si="15"/>
        <v>0</v>
      </c>
      <c r="U39" s="98">
        <f t="shared" si="16"/>
        <v>0</v>
      </c>
      <c r="V39" s="98">
        <f t="shared" si="17"/>
        <v>0</v>
      </c>
      <c r="W39" s="98">
        <f t="shared" si="18"/>
        <v>0</v>
      </c>
      <c r="X39" s="98">
        <f t="shared" si="19"/>
        <v>0</v>
      </c>
      <c r="Y39" s="98">
        <f t="shared" si="20"/>
        <v>0</v>
      </c>
      <c r="Z39" s="98">
        <f t="shared" si="21"/>
        <v>144417079.31590003</v>
      </c>
      <c r="AA39" s="98">
        <f t="shared" si="22"/>
        <v>123567851.68410002</v>
      </c>
      <c r="AB39" s="98">
        <f t="shared" si="23"/>
        <v>0</v>
      </c>
      <c r="AC39" s="98">
        <f t="shared" si="24"/>
        <v>0</v>
      </c>
      <c r="AD39" s="98">
        <f t="shared" si="25"/>
        <v>0</v>
      </c>
      <c r="AE39" s="98"/>
      <c r="AF39" s="98">
        <f t="shared" si="26"/>
        <v>0</v>
      </c>
      <c r="AG39" s="98"/>
      <c r="AH39" s="98">
        <f t="shared" si="27"/>
        <v>0</v>
      </c>
      <c r="AI39" s="98"/>
      <c r="AJ39" s="98">
        <f t="shared" si="28"/>
        <v>0</v>
      </c>
      <c r="AK39" s="98">
        <f t="shared" si="29"/>
        <v>267984931.00000006</v>
      </c>
      <c r="AL39" s="95" t="str">
        <f t="shared" si="30"/>
        <v>ok</v>
      </c>
    </row>
    <row r="40" spans="1:38" x14ac:dyDescent="0.25">
      <c r="A40" s="100"/>
      <c r="B40" s="101" t="s">
        <v>2021</v>
      </c>
      <c r="C40" s="94" t="s">
        <v>142</v>
      </c>
      <c r="D40" s="94" t="s">
        <v>194</v>
      </c>
      <c r="F40" s="98">
        <f>'Jurisdictional Study'!F693</f>
        <v>84507617.649999991</v>
      </c>
      <c r="H40" s="98">
        <f t="shared" si="5"/>
        <v>0</v>
      </c>
      <c r="I40" s="98">
        <f t="shared" si="6"/>
        <v>0</v>
      </c>
      <c r="J40" s="98">
        <f t="shared" si="7"/>
        <v>0</v>
      </c>
      <c r="K40" s="98">
        <f t="shared" si="8"/>
        <v>0</v>
      </c>
      <c r="L40" s="98">
        <f t="shared" si="9"/>
        <v>0</v>
      </c>
      <c r="M40" s="98">
        <f t="shared" si="10"/>
        <v>0</v>
      </c>
      <c r="N40" s="98"/>
      <c r="O40" s="98">
        <f t="shared" si="11"/>
        <v>0</v>
      </c>
      <c r="P40" s="98">
        <f t="shared" si="12"/>
        <v>0</v>
      </c>
      <c r="Q40" s="98">
        <f t="shared" si="13"/>
        <v>0</v>
      </c>
      <c r="R40" s="98"/>
      <c r="S40" s="98">
        <f t="shared" si="14"/>
        <v>0</v>
      </c>
      <c r="T40" s="98">
        <f t="shared" si="15"/>
        <v>0</v>
      </c>
      <c r="U40" s="98">
        <f t="shared" si="16"/>
        <v>0</v>
      </c>
      <c r="V40" s="98">
        <f t="shared" si="17"/>
        <v>0</v>
      </c>
      <c r="W40" s="98">
        <f t="shared" si="18"/>
        <v>0</v>
      </c>
      <c r="X40" s="98">
        <f t="shared" si="19"/>
        <v>0</v>
      </c>
      <c r="Y40" s="98">
        <f t="shared" si="20"/>
        <v>0</v>
      </c>
      <c r="Z40" s="98">
        <f t="shared" si="21"/>
        <v>0</v>
      </c>
      <c r="AA40" s="98">
        <f t="shared" si="22"/>
        <v>0</v>
      </c>
      <c r="AB40" s="98">
        <f t="shared" si="23"/>
        <v>84507617.649999991</v>
      </c>
      <c r="AC40" s="98">
        <f t="shared" si="24"/>
        <v>0</v>
      </c>
      <c r="AD40" s="98">
        <f t="shared" si="25"/>
        <v>0</v>
      </c>
      <c r="AE40" s="98"/>
      <c r="AF40" s="98">
        <f t="shared" si="26"/>
        <v>0</v>
      </c>
      <c r="AG40" s="98"/>
      <c r="AH40" s="98">
        <f t="shared" si="27"/>
        <v>0</v>
      </c>
      <c r="AI40" s="98"/>
      <c r="AJ40" s="98">
        <f t="shared" si="28"/>
        <v>0</v>
      </c>
      <c r="AK40" s="98">
        <f t="shared" si="29"/>
        <v>84507617.649999991</v>
      </c>
      <c r="AL40" s="95" t="str">
        <f t="shared" si="30"/>
        <v>ok</v>
      </c>
    </row>
    <row r="41" spans="1:38" x14ac:dyDescent="0.25">
      <c r="A41" s="100"/>
      <c r="B41" s="101" t="s">
        <v>2022</v>
      </c>
      <c r="C41" s="94" t="s">
        <v>195</v>
      </c>
      <c r="D41" s="94" t="s">
        <v>196</v>
      </c>
      <c r="F41" s="98">
        <f>'Jurisdictional Study'!F694</f>
        <v>66969752.690000013</v>
      </c>
      <c r="H41" s="98">
        <f t="shared" si="5"/>
        <v>0</v>
      </c>
      <c r="I41" s="98">
        <f t="shared" si="6"/>
        <v>0</v>
      </c>
      <c r="J41" s="98">
        <f t="shared" si="7"/>
        <v>0</v>
      </c>
      <c r="K41" s="98">
        <f t="shared" si="8"/>
        <v>0</v>
      </c>
      <c r="L41" s="98">
        <f t="shared" si="9"/>
        <v>0</v>
      </c>
      <c r="M41" s="98">
        <f t="shared" si="10"/>
        <v>0</v>
      </c>
      <c r="N41" s="98"/>
      <c r="O41" s="98">
        <f t="shared" si="11"/>
        <v>0</v>
      </c>
      <c r="P41" s="98">
        <f t="shared" si="12"/>
        <v>0</v>
      </c>
      <c r="Q41" s="98">
        <f t="shared" si="13"/>
        <v>0</v>
      </c>
      <c r="R41" s="98"/>
      <c r="S41" s="98">
        <f t="shared" si="14"/>
        <v>0</v>
      </c>
      <c r="T41" s="98">
        <f t="shared" si="15"/>
        <v>0</v>
      </c>
      <c r="U41" s="98">
        <f t="shared" si="16"/>
        <v>0</v>
      </c>
      <c r="V41" s="98">
        <f t="shared" si="17"/>
        <v>0</v>
      </c>
      <c r="W41" s="98">
        <f t="shared" si="18"/>
        <v>0</v>
      </c>
      <c r="X41" s="98">
        <f t="shared" si="19"/>
        <v>0</v>
      </c>
      <c r="Y41" s="98">
        <f t="shared" si="20"/>
        <v>0</v>
      </c>
      <c r="Z41" s="98">
        <f t="shared" si="21"/>
        <v>0</v>
      </c>
      <c r="AA41" s="98">
        <f t="shared" si="22"/>
        <v>0</v>
      </c>
      <c r="AB41" s="98">
        <f t="shared" si="23"/>
        <v>0</v>
      </c>
      <c r="AC41" s="98">
        <f t="shared" si="24"/>
        <v>66969752.690000013</v>
      </c>
      <c r="AD41" s="98">
        <f t="shared" si="25"/>
        <v>0</v>
      </c>
      <c r="AE41" s="98"/>
      <c r="AF41" s="98">
        <f t="shared" si="26"/>
        <v>0</v>
      </c>
      <c r="AG41" s="98"/>
      <c r="AH41" s="98">
        <f t="shared" si="27"/>
        <v>0</v>
      </c>
      <c r="AI41" s="98"/>
      <c r="AJ41" s="98">
        <f t="shared" si="28"/>
        <v>0</v>
      </c>
      <c r="AK41" s="98">
        <f t="shared" si="29"/>
        <v>66969752.690000013</v>
      </c>
      <c r="AL41" s="95" t="str">
        <f t="shared" si="30"/>
        <v>ok</v>
      </c>
    </row>
    <row r="42" spans="1:38" x14ac:dyDescent="0.25">
      <c r="A42" s="100"/>
      <c r="B42" s="101" t="s">
        <v>2023</v>
      </c>
      <c r="C42" s="94" t="s">
        <v>197</v>
      </c>
      <c r="D42" s="94" t="s">
        <v>199</v>
      </c>
      <c r="F42" s="98">
        <f>'Jurisdictional Study'!F695</f>
        <v>17384575.219999999</v>
      </c>
      <c r="H42" s="98">
        <f t="shared" si="5"/>
        <v>0</v>
      </c>
      <c r="I42" s="98">
        <f t="shared" si="6"/>
        <v>0</v>
      </c>
      <c r="J42" s="98">
        <f t="shared" si="7"/>
        <v>0</v>
      </c>
      <c r="K42" s="98">
        <f t="shared" si="8"/>
        <v>0</v>
      </c>
      <c r="L42" s="98">
        <f t="shared" si="9"/>
        <v>0</v>
      </c>
      <c r="M42" s="98">
        <f t="shared" si="10"/>
        <v>0</v>
      </c>
      <c r="N42" s="98"/>
      <c r="O42" s="98">
        <f t="shared" si="11"/>
        <v>0</v>
      </c>
      <c r="P42" s="98">
        <f t="shared" si="12"/>
        <v>0</v>
      </c>
      <c r="Q42" s="98">
        <f t="shared" si="13"/>
        <v>0</v>
      </c>
      <c r="R42" s="98"/>
      <c r="S42" s="98">
        <f t="shared" si="14"/>
        <v>0</v>
      </c>
      <c r="T42" s="98">
        <f t="shared" si="15"/>
        <v>0</v>
      </c>
      <c r="U42" s="98">
        <f t="shared" si="16"/>
        <v>0</v>
      </c>
      <c r="V42" s="98">
        <f t="shared" si="17"/>
        <v>0</v>
      </c>
      <c r="W42" s="98">
        <f t="shared" si="18"/>
        <v>0</v>
      </c>
      <c r="X42" s="98">
        <f t="shared" si="19"/>
        <v>0</v>
      </c>
      <c r="Y42" s="98">
        <f t="shared" si="20"/>
        <v>0</v>
      </c>
      <c r="Z42" s="98">
        <f t="shared" si="21"/>
        <v>0</v>
      </c>
      <c r="AA42" s="98">
        <f t="shared" si="22"/>
        <v>0</v>
      </c>
      <c r="AB42" s="98">
        <f t="shared" si="23"/>
        <v>0</v>
      </c>
      <c r="AC42" s="98">
        <f t="shared" si="24"/>
        <v>0</v>
      </c>
      <c r="AD42" s="98">
        <f t="shared" si="25"/>
        <v>17384575.219999999</v>
      </c>
      <c r="AE42" s="98"/>
      <c r="AF42" s="98">
        <f t="shared" si="26"/>
        <v>0</v>
      </c>
      <c r="AG42" s="98"/>
      <c r="AH42" s="98">
        <f t="shared" si="27"/>
        <v>0</v>
      </c>
      <c r="AI42" s="98"/>
      <c r="AJ42" s="98">
        <f t="shared" si="28"/>
        <v>0</v>
      </c>
      <c r="AK42" s="98">
        <f t="shared" si="29"/>
        <v>17384575.219999999</v>
      </c>
      <c r="AL42" s="95" t="str">
        <f t="shared" si="30"/>
        <v>ok</v>
      </c>
    </row>
    <row r="43" spans="1:38" x14ac:dyDescent="0.25">
      <c r="A43" s="100"/>
      <c r="B43" s="101" t="s">
        <v>2024</v>
      </c>
      <c r="C43" s="94" t="s">
        <v>198</v>
      </c>
      <c r="D43" s="94" t="s">
        <v>199</v>
      </c>
      <c r="F43" s="98">
        <f>'Jurisdictional Study'!F696</f>
        <v>80975589.62000002</v>
      </c>
      <c r="H43" s="98">
        <f t="shared" si="5"/>
        <v>0</v>
      </c>
      <c r="I43" s="98">
        <f t="shared" si="6"/>
        <v>0</v>
      </c>
      <c r="J43" s="98">
        <f t="shared" si="7"/>
        <v>0</v>
      </c>
      <c r="K43" s="98">
        <f t="shared" si="8"/>
        <v>0</v>
      </c>
      <c r="L43" s="98">
        <f t="shared" si="9"/>
        <v>0</v>
      </c>
      <c r="M43" s="98">
        <f t="shared" si="10"/>
        <v>0</v>
      </c>
      <c r="N43" s="98"/>
      <c r="O43" s="98">
        <f t="shared" si="11"/>
        <v>0</v>
      </c>
      <c r="P43" s="98">
        <f t="shared" si="12"/>
        <v>0</v>
      </c>
      <c r="Q43" s="98">
        <f t="shared" si="13"/>
        <v>0</v>
      </c>
      <c r="R43" s="98"/>
      <c r="S43" s="98">
        <f t="shared" si="14"/>
        <v>0</v>
      </c>
      <c r="T43" s="98">
        <f t="shared" si="15"/>
        <v>0</v>
      </c>
      <c r="U43" s="98">
        <f t="shared" si="16"/>
        <v>0</v>
      </c>
      <c r="V43" s="98">
        <f t="shared" si="17"/>
        <v>0</v>
      </c>
      <c r="W43" s="98">
        <f t="shared" si="18"/>
        <v>0</v>
      </c>
      <c r="X43" s="98">
        <f t="shared" si="19"/>
        <v>0</v>
      </c>
      <c r="Y43" s="98">
        <f t="shared" si="20"/>
        <v>0</v>
      </c>
      <c r="Z43" s="98">
        <f t="shared" si="21"/>
        <v>0</v>
      </c>
      <c r="AA43" s="98">
        <f t="shared" si="22"/>
        <v>0</v>
      </c>
      <c r="AB43" s="98">
        <f t="shared" si="23"/>
        <v>0</v>
      </c>
      <c r="AC43" s="98">
        <f t="shared" si="24"/>
        <v>0</v>
      </c>
      <c r="AD43" s="98">
        <f t="shared" si="25"/>
        <v>80975589.62000002</v>
      </c>
      <c r="AE43" s="98"/>
      <c r="AF43" s="98">
        <f t="shared" si="26"/>
        <v>0</v>
      </c>
      <c r="AG43" s="98"/>
      <c r="AH43" s="98">
        <f t="shared" si="27"/>
        <v>0</v>
      </c>
      <c r="AI43" s="98"/>
      <c r="AJ43" s="98">
        <f t="shared" si="28"/>
        <v>0</v>
      </c>
      <c r="AK43" s="98">
        <f>SUM(H43:AJ43)</f>
        <v>80975589.62000002</v>
      </c>
      <c r="AL43" s="95" t="str">
        <f>IF(ABS(AK43-F43)&lt;1,"ok","err")</f>
        <v>ok</v>
      </c>
    </row>
    <row r="44" spans="1:38" x14ac:dyDescent="0.25">
      <c r="Y44" s="94"/>
      <c r="AK44" s="98"/>
      <c r="AL44" s="95"/>
    </row>
    <row r="45" spans="1:38" x14ac:dyDescent="0.25">
      <c r="B45" s="94" t="s">
        <v>200</v>
      </c>
      <c r="C45" s="94" t="s">
        <v>129</v>
      </c>
      <c r="F45" s="97">
        <f>SUM(F35:F44)</f>
        <v>1348161064.9961252</v>
      </c>
      <c r="G45" s="102"/>
      <c r="H45" s="97">
        <f t="shared" ref="H45:M45" si="31">SUM(H35:H44)</f>
        <v>0</v>
      </c>
      <c r="I45" s="97">
        <f t="shared" si="31"/>
        <v>0</v>
      </c>
      <c r="J45" s="97">
        <f t="shared" si="31"/>
        <v>0</v>
      </c>
      <c r="K45" s="97">
        <f t="shared" si="31"/>
        <v>0</v>
      </c>
      <c r="L45" s="97">
        <f t="shared" si="31"/>
        <v>0</v>
      </c>
      <c r="M45" s="97">
        <f t="shared" si="31"/>
        <v>0</v>
      </c>
      <c r="N45" s="97"/>
      <c r="O45" s="97">
        <f>SUM(O35:O44)</f>
        <v>0</v>
      </c>
      <c r="P45" s="97">
        <f>SUM(P35:P44)</f>
        <v>0</v>
      </c>
      <c r="Q45" s="97">
        <f>SUM(Q35:Q44)</f>
        <v>0</v>
      </c>
      <c r="R45" s="97"/>
      <c r="S45" s="97">
        <f t="shared" ref="S45:AD45" si="32">SUM(S35:S44)</f>
        <v>0</v>
      </c>
      <c r="T45" s="97">
        <f t="shared" si="32"/>
        <v>146452780.45999998</v>
      </c>
      <c r="U45" s="97">
        <f t="shared" si="32"/>
        <v>0</v>
      </c>
      <c r="V45" s="97">
        <f t="shared" si="32"/>
        <v>237200170.21559924</v>
      </c>
      <c r="W45" s="97">
        <f t="shared" si="32"/>
        <v>339504760.5194006</v>
      </c>
      <c r="X45" s="97">
        <f t="shared" si="32"/>
        <v>41858853.567458689</v>
      </c>
      <c r="Y45" s="97">
        <f t="shared" si="32"/>
        <v>59912604.797541291</v>
      </c>
      <c r="Z45" s="97">
        <f t="shared" si="32"/>
        <v>147332220.74202576</v>
      </c>
      <c r="AA45" s="97">
        <f t="shared" si="32"/>
        <v>126062139.51409924</v>
      </c>
      <c r="AB45" s="97">
        <f t="shared" si="32"/>
        <v>84507617.649999991</v>
      </c>
      <c r="AC45" s="97">
        <f t="shared" si="32"/>
        <v>66969752.690000013</v>
      </c>
      <c r="AD45" s="97">
        <f t="shared" si="32"/>
        <v>98360164.840000018</v>
      </c>
      <c r="AE45" s="97"/>
      <c r="AF45" s="97">
        <f>SUM(AF35:AF44)</f>
        <v>0</v>
      </c>
      <c r="AG45" s="97"/>
      <c r="AH45" s="97">
        <f>SUM(AH35:AH44)</f>
        <v>0</v>
      </c>
      <c r="AI45" s="97"/>
      <c r="AJ45" s="97">
        <f>SUM(AJ35:AJ44)</f>
        <v>0</v>
      </c>
      <c r="AK45" s="98">
        <f>SUM(H45:AJ45)</f>
        <v>1348161064.996125</v>
      </c>
      <c r="AL45" s="95" t="str">
        <f>IF(ABS(AK45-F45)&lt;1,"ok","err")</f>
        <v>ok</v>
      </c>
    </row>
    <row r="46" spans="1:38" x14ac:dyDescent="0.25">
      <c r="Y46" s="94"/>
      <c r="AL46" s="95"/>
    </row>
    <row r="47" spans="1:38" x14ac:dyDescent="0.25">
      <c r="B47" s="16" t="s">
        <v>225</v>
      </c>
      <c r="C47" s="94" t="s">
        <v>586</v>
      </c>
      <c r="F47" s="99">
        <f>F26+F32+F45</f>
        <v>5474515152.7036133</v>
      </c>
      <c r="G47" s="99"/>
      <c r="H47" s="99">
        <f t="shared" ref="H47:M47" si="33">H26+H32+H45</f>
        <v>1233452876.9731376</v>
      </c>
      <c r="I47" s="99">
        <f t="shared" si="33"/>
        <v>1162748581.1218805</v>
      </c>
      <c r="J47" s="99">
        <f t="shared" si="33"/>
        <v>1194150819.7294188</v>
      </c>
      <c r="K47" s="99">
        <f t="shared" si="33"/>
        <v>0</v>
      </c>
      <c r="L47" s="99">
        <f t="shared" si="33"/>
        <v>0</v>
      </c>
      <c r="M47" s="99">
        <f t="shared" si="33"/>
        <v>0</v>
      </c>
      <c r="N47" s="99"/>
      <c r="O47" s="99">
        <f>O26+O32+O45</f>
        <v>184141533.56106606</v>
      </c>
      <c r="P47" s="99">
        <f>P26+P32+P45</f>
        <v>173586126.28895724</v>
      </c>
      <c r="Q47" s="99">
        <f>Q26+Q32+Q45</f>
        <v>178274150.03302813</v>
      </c>
      <c r="R47" s="99"/>
      <c r="S47" s="99">
        <f t="shared" ref="S47:AD47" si="34">S26+S32+S45</f>
        <v>0</v>
      </c>
      <c r="T47" s="99">
        <f t="shared" si="34"/>
        <v>146452780.45999998</v>
      </c>
      <c r="U47" s="99">
        <f t="shared" si="34"/>
        <v>0</v>
      </c>
      <c r="V47" s="99">
        <f t="shared" si="34"/>
        <v>237200170.21559924</v>
      </c>
      <c r="W47" s="99">
        <f t="shared" si="34"/>
        <v>339504760.5194006</v>
      </c>
      <c r="X47" s="99">
        <f t="shared" si="34"/>
        <v>41858853.567458689</v>
      </c>
      <c r="Y47" s="99">
        <f t="shared" si="34"/>
        <v>59912604.797541291</v>
      </c>
      <c r="Z47" s="99">
        <f t="shared" si="34"/>
        <v>147332220.74202576</v>
      </c>
      <c r="AA47" s="99">
        <f t="shared" si="34"/>
        <v>126062139.51409924</v>
      </c>
      <c r="AB47" s="99">
        <f t="shared" si="34"/>
        <v>84507617.649999991</v>
      </c>
      <c r="AC47" s="99">
        <f t="shared" si="34"/>
        <v>66969752.690000013</v>
      </c>
      <c r="AD47" s="99">
        <f t="shared" si="34"/>
        <v>98360164.840000018</v>
      </c>
      <c r="AE47" s="99"/>
      <c r="AF47" s="99">
        <f>AF26+AF32+AF45</f>
        <v>0</v>
      </c>
      <c r="AG47" s="99"/>
      <c r="AH47" s="99">
        <f>AH26+AH32+AH45</f>
        <v>0</v>
      </c>
      <c r="AI47" s="99"/>
      <c r="AJ47" s="99">
        <f>AJ26+AJ32+AJ45</f>
        <v>0</v>
      </c>
      <c r="AK47" s="98">
        <f>SUM(H47:AJ47)</f>
        <v>5474515152.7036133</v>
      </c>
      <c r="AL47" s="95" t="str">
        <f>IF(ABS(AK47-F47)&lt;1,"ok","err")</f>
        <v>ok</v>
      </c>
    </row>
    <row r="48" spans="1:38" x14ac:dyDescent="0.25">
      <c r="Y48" s="94"/>
      <c r="AL48" s="95"/>
    </row>
    <row r="49" spans="1:38" x14ac:dyDescent="0.25">
      <c r="Y49" s="94"/>
      <c r="AL49" s="95"/>
    </row>
    <row r="50" spans="1:38" x14ac:dyDescent="0.25">
      <c r="Y50" s="94"/>
      <c r="AL50" s="95"/>
    </row>
    <row r="51" spans="1:38" x14ac:dyDescent="0.25">
      <c r="Y51" s="94"/>
      <c r="AL51" s="95"/>
    </row>
    <row r="52" spans="1:38" x14ac:dyDescent="0.25">
      <c r="Y52" s="94"/>
      <c r="AL52" s="95"/>
    </row>
    <row r="53" spans="1:38" x14ac:dyDescent="0.25">
      <c r="A53" s="15" t="s">
        <v>563</v>
      </c>
      <c r="Y53" s="94"/>
      <c r="AL53" s="95"/>
    </row>
    <row r="54" spans="1:38" x14ac:dyDescent="0.25">
      <c r="Y54" s="94"/>
      <c r="AL54" s="95"/>
    </row>
    <row r="55" spans="1:38" x14ac:dyDescent="0.25">
      <c r="A55" s="15" t="s">
        <v>201</v>
      </c>
      <c r="Y55" s="94"/>
      <c r="AL55" s="95"/>
    </row>
    <row r="56" spans="1:38" x14ac:dyDescent="0.25">
      <c r="Y56" s="94"/>
      <c r="AK56" s="98"/>
      <c r="AL56" s="95"/>
    </row>
    <row r="57" spans="1:38" x14ac:dyDescent="0.25">
      <c r="B57" s="94" t="s">
        <v>202</v>
      </c>
      <c r="C57" s="94" t="s">
        <v>203</v>
      </c>
      <c r="D57" s="94" t="s">
        <v>586</v>
      </c>
      <c r="F57" s="97">
        <f>'Jurisdictional Study'!F744</f>
        <v>124597127.79894324</v>
      </c>
      <c r="G57" s="97"/>
      <c r="H57" s="98">
        <f>IF(VLOOKUP($D57,$C$5:$AJ$646,6,)=0,0,((VLOOKUP($D57,$C$5:$AJ$646,6,)/VLOOKUP($D57,$C$5:$AJ$646,4,))*$F57))</f>
        <v>28072748.263432678</v>
      </c>
      <c r="I57" s="98">
        <f>IF(VLOOKUP($D57,$C$5:$AJ$646,7,)=0,0,((VLOOKUP($D57,$C$5:$AJ$646,7,)/VLOOKUP($D57,$C$5:$AJ$646,4,))*$F57))</f>
        <v>26463555.131185573</v>
      </c>
      <c r="J57" s="98">
        <f>IF(VLOOKUP($D57,$C$5:$AJ$646,8,)=0,0,((VLOOKUP($D57,$C$5:$AJ$646,8,)/VLOOKUP($D57,$C$5:$AJ$646,4,))*$F57))</f>
        <v>27178253.808204316</v>
      </c>
      <c r="K57" s="98">
        <f>IF(VLOOKUP($D57,$C$5:$AJ$646,9,)=0,0,((VLOOKUP($D57,$C$5:$AJ$646,9,)/VLOOKUP($D57,$C$5:$AJ$646,4,))*$F57))</f>
        <v>0</v>
      </c>
      <c r="L57" s="98">
        <f>IF(VLOOKUP($D57,$C$5:$AJ$646,10,)=0,0,((VLOOKUP($D57,$C$5:$AJ$646,10,)/VLOOKUP($D57,$C$5:$AJ$646,4,))*$F57))</f>
        <v>0</v>
      </c>
      <c r="M57" s="98">
        <f>IF(VLOOKUP($D57,$C$5:$AJ$646,11,)=0,0,((VLOOKUP($D57,$C$5:$AJ$646,11,)/VLOOKUP($D57,$C$5:$AJ$646,4,))*$F57))</f>
        <v>0</v>
      </c>
      <c r="N57" s="98"/>
      <c r="O57" s="98">
        <f>IF(VLOOKUP($D57,$C$5:$AJ$646,13,)=0,0,((VLOOKUP($D57,$C$5:$AJ$646,13,)/VLOOKUP($D57,$C$5:$AJ$646,4,))*$F57))</f>
        <v>4190965.8755571791</v>
      </c>
      <c r="P57" s="98">
        <f>IF(VLOOKUP($D57,$C$5:$AJ$646,14,)=0,0,((VLOOKUP($D57,$C$5:$AJ$646,14,)/VLOOKUP($D57,$C$5:$AJ$646,4,))*$F57))</f>
        <v>3950730.2762085623</v>
      </c>
      <c r="Q57" s="98">
        <f>IF(VLOOKUP($D57,$C$5:$AJ$646,15,)=0,0,((VLOOKUP($D57,$C$5:$AJ$646,15,)/VLOOKUP($D57,$C$5:$AJ$646,4,))*$F57))</f>
        <v>4057427.26713314</v>
      </c>
      <c r="R57" s="98"/>
      <c r="S57" s="98">
        <f>IF(VLOOKUP($D57,$C$5:$AJ$646,17,)=0,0,((VLOOKUP($D57,$C$5:$AJ$646,17,)/VLOOKUP($D57,$C$5:$AJ$646,4,))*$F57))</f>
        <v>0</v>
      </c>
      <c r="T57" s="98">
        <f>IF(VLOOKUP($D57,$C$5:$AJ$646,18,)=0,0,((VLOOKUP($D57,$C$5:$AJ$646,18,)/VLOOKUP($D57,$C$5:$AJ$646,4,))*$F57))</f>
        <v>3333189.3865475082</v>
      </c>
      <c r="U57" s="98">
        <f>IF(VLOOKUP($D57,$C$5:$AJ$646,19,)=0,0,((VLOOKUP($D57,$C$5:$AJ$646,19,)/VLOOKUP($D57,$C$5:$AJ$646,4,))*$F57))</f>
        <v>0</v>
      </c>
      <c r="V57" s="98">
        <f>IF(VLOOKUP($D57,$C$5:$AJ$646,20,)=0,0,((VLOOKUP($D57,$C$5:$AJ$646,20,)/VLOOKUP($D57,$C$5:$AJ$646,4,))*$F57))</f>
        <v>5398552.9490567781</v>
      </c>
      <c r="W57" s="98">
        <f>IF(VLOOKUP($D57,$C$5:$AJ$646,21,)=0,0,((VLOOKUP($D57,$C$5:$AJ$646,21,)/VLOOKUP($D57,$C$5:$AJ$646,4,))*$F57))</f>
        <v>7726952.4067158131</v>
      </c>
      <c r="X57" s="98">
        <f>IF(VLOOKUP($D57,$C$5:$AJ$646,22,)=0,0,((VLOOKUP($D57,$C$5:$AJ$646,22,)/VLOOKUP($D57,$C$5:$AJ$646,4,))*$F57))</f>
        <v>952685.81453943136</v>
      </c>
      <c r="Y57" s="98">
        <f>IF(VLOOKUP($D57,$C$5:$AJ$646,23,)=0,0,((VLOOKUP($D57,$C$5:$AJ$646,23,)/VLOOKUP($D57,$C$5:$AJ$646,4,))*$F57))</f>
        <v>1363579.8364792613</v>
      </c>
      <c r="Z57" s="98">
        <f>IF(VLOOKUP($D57,$C$5:$AJ$646,24,)=0,0,((VLOOKUP($D57,$C$5:$AJ$646,24,)/VLOOKUP($D57,$C$5:$AJ$646,4,))*$F57))</f>
        <v>3353204.9916110891</v>
      </c>
      <c r="AA57" s="98">
        <f>IF(VLOOKUP($D57,$C$5:$AJ$646,25,)=0,0,((VLOOKUP($D57,$C$5:$AJ$646,25,)/VLOOKUP($D57,$C$5:$AJ$646,4,))*$F57))</f>
        <v>2869108.9657299556</v>
      </c>
      <c r="AB57" s="98">
        <f>IF(VLOOKUP($D57,$C$5:$AJ$646,26,)=0,0,((VLOOKUP($D57,$C$5:$AJ$646,26,)/VLOOKUP($D57,$C$5:$AJ$646,4,))*$F57))</f>
        <v>1923349.5830441325</v>
      </c>
      <c r="AC57" s="98">
        <f>IF(VLOOKUP($D57,$C$5:$AJ$646,27,)=0,0,((VLOOKUP($D57,$C$5:$AJ$646,27,)/VLOOKUP($D57,$C$5:$AJ$646,4,))*$F57))</f>
        <v>1524196.8652618881</v>
      </c>
      <c r="AD57" s="98">
        <f>IF(VLOOKUP($D57,$C$5:$AJ$646,28,)=0,0,((VLOOKUP($D57,$C$5:$AJ$646,28,)/VLOOKUP($D57,$C$5:$AJ$646,4,))*$F57))</f>
        <v>2238626.3782359292</v>
      </c>
      <c r="AE57" s="98"/>
      <c r="AF57" s="98">
        <f>IF(VLOOKUP($D57,$C$5:$AJ$646,30,)=0,0,((VLOOKUP($D57,$C$5:$AJ$646,30,)/VLOOKUP($D57,$C$5:$AJ$646,4,))*$F57))</f>
        <v>0</v>
      </c>
      <c r="AG57" s="98"/>
      <c r="AH57" s="98">
        <f>IF(VLOOKUP($D57,$C$5:$AJ$646,32,)=0,0,((VLOOKUP($D57,$C$5:$AJ$646,32,)/VLOOKUP($D57,$C$5:$AJ$646,4,))*$F57))</f>
        <v>0</v>
      </c>
      <c r="AI57" s="98"/>
      <c r="AJ57" s="98">
        <f>IF(VLOOKUP($D57,$C$5:$AJ$646,34,)=0,0,((VLOOKUP($D57,$C$5:$AJ$646,34,)/VLOOKUP($D57,$C$5:$AJ$646,4,))*$F57))</f>
        <v>0</v>
      </c>
      <c r="AK57" s="98">
        <f>SUM(H57:AJ57)</f>
        <v>124597127.79894324</v>
      </c>
      <c r="AL57" s="95" t="str">
        <f>IF(ABS(AK57-F57)&lt;1,"ok","err")</f>
        <v>ok</v>
      </c>
    </row>
    <row r="58" spans="1:38" x14ac:dyDescent="0.25">
      <c r="P58" s="98"/>
      <c r="Q58" s="98"/>
      <c r="Y58" s="94"/>
      <c r="AK58" s="98"/>
      <c r="AL58" s="95"/>
    </row>
    <row r="59" spans="1:38" x14ac:dyDescent="0.25">
      <c r="B59" s="94" t="s">
        <v>1904</v>
      </c>
      <c r="C59" s="94" t="s">
        <v>1905</v>
      </c>
      <c r="D59" s="94" t="s">
        <v>586</v>
      </c>
      <c r="F59" s="97">
        <v>0</v>
      </c>
      <c r="H59" s="98">
        <f>IF(VLOOKUP($D59,$C$5:$AJ$646,6,)=0,0,((VLOOKUP($D59,$C$5:$AJ$646,6,)/VLOOKUP($D59,$C$5:$AJ$646,4,))*$F59))</f>
        <v>0</v>
      </c>
      <c r="I59" s="98">
        <f>IF(VLOOKUP($D59,$C$5:$AJ$646,7,)=0,0,((VLOOKUP($D59,$C$5:$AJ$646,7,)/VLOOKUP($D59,$C$5:$AJ$646,4,))*$F59))</f>
        <v>0</v>
      </c>
      <c r="J59" s="98">
        <f>IF(VLOOKUP($D59,$C$5:$AJ$646,8,)=0,0,((VLOOKUP($D59,$C$5:$AJ$646,8,)/VLOOKUP($D59,$C$5:$AJ$646,4,))*$F59))</f>
        <v>0</v>
      </c>
      <c r="K59" s="98">
        <f>IF(VLOOKUP($D59,$C$5:$AJ$646,9,)=0,0,((VLOOKUP($D59,$C$5:$AJ$646,9,)/VLOOKUP($D59,$C$5:$AJ$646,4,))*$F59))</f>
        <v>0</v>
      </c>
      <c r="L59" s="98">
        <f>IF(VLOOKUP($D59,$C$5:$AJ$646,10,)=0,0,((VLOOKUP($D59,$C$5:$AJ$646,10,)/VLOOKUP($D59,$C$5:$AJ$646,4,))*$F59))</f>
        <v>0</v>
      </c>
      <c r="M59" s="98">
        <f>IF(VLOOKUP($D59,$C$5:$AJ$646,11,)=0,0,((VLOOKUP($D59,$C$5:$AJ$646,11,)/VLOOKUP($D59,$C$5:$AJ$646,4,))*$F59))</f>
        <v>0</v>
      </c>
      <c r="N59" s="98"/>
      <c r="O59" s="98">
        <f>IF(VLOOKUP($D59,$C$5:$AJ$646,13,)=0,0,((VLOOKUP($D59,$C$5:$AJ$646,13,)/VLOOKUP($D59,$C$5:$AJ$646,4,))*$F59))</f>
        <v>0</v>
      </c>
      <c r="P59" s="98">
        <f>IF(VLOOKUP($D59,$C$5:$AJ$646,14,)=0,0,((VLOOKUP($D59,$C$5:$AJ$646,14,)/VLOOKUP($D59,$C$5:$AJ$646,4,))*$F59))</f>
        <v>0</v>
      </c>
      <c r="Q59" s="98">
        <f>IF(VLOOKUP($D59,$C$5:$AJ$646,15,)=0,0,((VLOOKUP($D59,$C$5:$AJ$646,15,)/VLOOKUP($D59,$C$5:$AJ$646,4,))*$F59))</f>
        <v>0</v>
      </c>
      <c r="R59" s="98"/>
      <c r="S59" s="98">
        <f>IF(VLOOKUP($D59,$C$5:$AJ$646,17,)=0,0,((VLOOKUP($D59,$C$5:$AJ$646,17,)/VLOOKUP($D59,$C$5:$AJ$646,4,))*$F59))</f>
        <v>0</v>
      </c>
      <c r="T59" s="98">
        <f>IF(VLOOKUP($D59,$C$5:$AJ$646,18,)=0,0,((VLOOKUP($D59,$C$5:$AJ$646,18,)/VLOOKUP($D59,$C$5:$AJ$646,4,))*$F59))</f>
        <v>0</v>
      </c>
      <c r="U59" s="98">
        <f>IF(VLOOKUP($D59,$C$5:$AJ$646,19,)=0,0,((VLOOKUP($D59,$C$5:$AJ$646,19,)/VLOOKUP($D59,$C$5:$AJ$646,4,))*$F59))</f>
        <v>0</v>
      </c>
      <c r="V59" s="98">
        <f>IF(VLOOKUP($D59,$C$5:$AJ$646,20,)=0,0,((VLOOKUP($D59,$C$5:$AJ$646,20,)/VLOOKUP($D59,$C$5:$AJ$646,4,))*$F59))</f>
        <v>0</v>
      </c>
      <c r="W59" s="98">
        <f>IF(VLOOKUP($D59,$C$5:$AJ$646,21,)=0,0,((VLOOKUP($D59,$C$5:$AJ$646,21,)/VLOOKUP($D59,$C$5:$AJ$646,4,))*$F59))</f>
        <v>0</v>
      </c>
      <c r="X59" s="98">
        <f>IF(VLOOKUP($D59,$C$5:$AJ$646,22,)=0,0,((VLOOKUP($D59,$C$5:$AJ$646,22,)/VLOOKUP($D59,$C$5:$AJ$646,4,))*$F59))</f>
        <v>0</v>
      </c>
      <c r="Y59" s="98">
        <f>IF(VLOOKUP($D59,$C$5:$AJ$646,23,)=0,0,((VLOOKUP($D59,$C$5:$AJ$646,23,)/VLOOKUP($D59,$C$5:$AJ$646,4,))*$F59))</f>
        <v>0</v>
      </c>
      <c r="Z59" s="98">
        <f>IF(VLOOKUP($D59,$C$5:$AJ$646,24,)=0,0,((VLOOKUP($D59,$C$5:$AJ$646,24,)/VLOOKUP($D59,$C$5:$AJ$646,4,))*$F59))</f>
        <v>0</v>
      </c>
      <c r="AA59" s="98">
        <f>IF(VLOOKUP($D59,$C$5:$AJ$646,25,)=0,0,((VLOOKUP($D59,$C$5:$AJ$646,25,)/VLOOKUP($D59,$C$5:$AJ$646,4,))*$F59))</f>
        <v>0</v>
      </c>
      <c r="AB59" s="98">
        <f>IF(VLOOKUP($D59,$C$5:$AJ$646,26,)=0,0,((VLOOKUP($D59,$C$5:$AJ$646,26,)/VLOOKUP($D59,$C$5:$AJ$646,4,))*$F59))</f>
        <v>0</v>
      </c>
      <c r="AC59" s="98">
        <f>IF(VLOOKUP($D59,$C$5:$AJ$646,27,)=0,0,((VLOOKUP($D59,$C$5:$AJ$646,27,)/VLOOKUP($D59,$C$5:$AJ$646,4,))*$F59))</f>
        <v>0</v>
      </c>
      <c r="AD59" s="98">
        <f>IF(VLOOKUP($D59,$C$5:$AJ$646,28,)=0,0,((VLOOKUP($D59,$C$5:$AJ$646,28,)/VLOOKUP($D59,$C$5:$AJ$646,4,))*$F59))</f>
        <v>0</v>
      </c>
      <c r="AE59" s="98"/>
      <c r="AF59" s="98">
        <f>IF(VLOOKUP($D59,$C$5:$AJ$646,30,)=0,0,((VLOOKUP($D59,$C$5:$AJ$646,30,)/VLOOKUP($D59,$C$5:$AJ$646,4,))*$F59))</f>
        <v>0</v>
      </c>
      <c r="AG59" s="98"/>
      <c r="AH59" s="98">
        <f>IF(VLOOKUP($D59,$C$5:$AJ$646,32,)=0,0,((VLOOKUP($D59,$C$5:$AJ$646,32,)/VLOOKUP($D59,$C$5:$AJ$646,4,))*$F59))</f>
        <v>0</v>
      </c>
      <c r="AI59" s="98"/>
      <c r="AJ59" s="98">
        <f>IF(VLOOKUP($D59,$C$5:$AJ$646,34,)=0,0,((VLOOKUP($D59,$C$5:$AJ$646,34,)/VLOOKUP($D59,$C$5:$AJ$646,4,))*$F59))</f>
        <v>0</v>
      </c>
      <c r="AK59" s="98">
        <f>SUM(H59:AJ59)</f>
        <v>0</v>
      </c>
      <c r="AL59" s="95" t="str">
        <f>IF(ABS(AK59-F59)&lt;1,"ok","err")</f>
        <v>ok</v>
      </c>
    </row>
    <row r="60" spans="1:38" x14ac:dyDescent="0.25">
      <c r="A60" s="96">
        <v>106</v>
      </c>
      <c r="B60" s="94" t="s">
        <v>561</v>
      </c>
      <c r="C60" s="94" t="s">
        <v>562</v>
      </c>
      <c r="D60" s="94" t="s">
        <v>586</v>
      </c>
      <c r="F60" s="97">
        <v>0</v>
      </c>
      <c r="H60" s="98">
        <f>IF(VLOOKUP($D60,$C$5:$AJ$646,6,)=0,0,((VLOOKUP($D60,$C$5:$AJ$646,6,)/VLOOKUP($D60,$C$5:$AJ$646,4,))*$F60))</f>
        <v>0</v>
      </c>
      <c r="I60" s="98">
        <f>IF(VLOOKUP($D60,$C$5:$AJ$646,7,)=0,0,((VLOOKUP($D60,$C$5:$AJ$646,7,)/VLOOKUP($D60,$C$5:$AJ$646,4,))*$F60))</f>
        <v>0</v>
      </c>
      <c r="J60" s="98">
        <f>IF(VLOOKUP($D60,$C$5:$AJ$646,8,)=0,0,((VLOOKUP($D60,$C$5:$AJ$646,8,)/VLOOKUP($D60,$C$5:$AJ$646,4,))*$F60))</f>
        <v>0</v>
      </c>
      <c r="K60" s="98">
        <f>IF(VLOOKUP($D60,$C$5:$AJ$646,9,)=0,0,((VLOOKUP($D60,$C$5:$AJ$646,9,)/VLOOKUP($D60,$C$5:$AJ$646,4,))*$F60))</f>
        <v>0</v>
      </c>
      <c r="L60" s="98">
        <f>IF(VLOOKUP($D60,$C$5:$AJ$646,10,)=0,0,((VLOOKUP($D60,$C$5:$AJ$646,10,)/VLOOKUP($D60,$C$5:$AJ$646,4,))*$F60))</f>
        <v>0</v>
      </c>
      <c r="M60" s="98">
        <f>IF(VLOOKUP($D60,$C$5:$AJ$646,11,)=0,0,((VLOOKUP($D60,$C$5:$AJ$646,11,)/VLOOKUP($D60,$C$5:$AJ$646,4,))*$F60))</f>
        <v>0</v>
      </c>
      <c r="N60" s="98"/>
      <c r="O60" s="98">
        <f>IF(VLOOKUP($D60,$C$5:$AJ$646,13,)=0,0,((VLOOKUP($D60,$C$5:$AJ$646,13,)/VLOOKUP($D60,$C$5:$AJ$646,4,))*$F60))</f>
        <v>0</v>
      </c>
      <c r="P60" s="98">
        <f>IF(VLOOKUP($D60,$C$5:$AJ$646,14,)=0,0,((VLOOKUP($D60,$C$5:$AJ$646,14,)/VLOOKUP($D60,$C$5:$AJ$646,4,))*$F60))</f>
        <v>0</v>
      </c>
      <c r="Q60" s="98">
        <f>IF(VLOOKUP($D60,$C$5:$AJ$646,15,)=0,0,((VLOOKUP($D60,$C$5:$AJ$646,15,)/VLOOKUP($D60,$C$5:$AJ$646,4,))*$F60))</f>
        <v>0</v>
      </c>
      <c r="R60" s="98"/>
      <c r="S60" s="98">
        <f>IF(VLOOKUP($D60,$C$5:$AJ$646,17,)=0,0,((VLOOKUP($D60,$C$5:$AJ$646,17,)/VLOOKUP($D60,$C$5:$AJ$646,4,))*$F60))</f>
        <v>0</v>
      </c>
      <c r="T60" s="98">
        <f>IF(VLOOKUP($D60,$C$5:$AJ$646,18,)=0,0,((VLOOKUP($D60,$C$5:$AJ$646,18,)/VLOOKUP($D60,$C$5:$AJ$646,4,))*$F60))</f>
        <v>0</v>
      </c>
      <c r="U60" s="98">
        <f>IF(VLOOKUP($D60,$C$5:$AJ$646,19,)=0,0,((VLOOKUP($D60,$C$5:$AJ$646,19,)/VLOOKUP($D60,$C$5:$AJ$646,4,))*$F60))</f>
        <v>0</v>
      </c>
      <c r="V60" s="98">
        <f>IF(VLOOKUP($D60,$C$5:$AJ$646,20,)=0,0,((VLOOKUP($D60,$C$5:$AJ$646,20,)/VLOOKUP($D60,$C$5:$AJ$646,4,))*$F60))</f>
        <v>0</v>
      </c>
      <c r="W60" s="98">
        <f>IF(VLOOKUP($D60,$C$5:$AJ$646,21,)=0,0,((VLOOKUP($D60,$C$5:$AJ$646,21,)/VLOOKUP($D60,$C$5:$AJ$646,4,))*$F60))</f>
        <v>0</v>
      </c>
      <c r="X60" s="98">
        <f>IF(VLOOKUP($D60,$C$5:$AJ$646,22,)=0,0,((VLOOKUP($D60,$C$5:$AJ$646,22,)/VLOOKUP($D60,$C$5:$AJ$646,4,))*$F60))</f>
        <v>0</v>
      </c>
      <c r="Y60" s="98">
        <f>IF(VLOOKUP($D60,$C$5:$AJ$646,23,)=0,0,((VLOOKUP($D60,$C$5:$AJ$646,23,)/VLOOKUP($D60,$C$5:$AJ$646,4,))*$F60))</f>
        <v>0</v>
      </c>
      <c r="Z60" s="98">
        <f>IF(VLOOKUP($D60,$C$5:$AJ$646,24,)=0,0,((VLOOKUP($D60,$C$5:$AJ$646,24,)/VLOOKUP($D60,$C$5:$AJ$646,4,))*$F60))</f>
        <v>0</v>
      </c>
      <c r="AA60" s="98">
        <f>IF(VLOOKUP($D60,$C$5:$AJ$646,25,)=0,0,((VLOOKUP($D60,$C$5:$AJ$646,25,)/VLOOKUP($D60,$C$5:$AJ$646,4,))*$F60))</f>
        <v>0</v>
      </c>
      <c r="AB60" s="98">
        <f>IF(VLOOKUP($D60,$C$5:$AJ$646,26,)=0,0,((VLOOKUP($D60,$C$5:$AJ$646,26,)/VLOOKUP($D60,$C$5:$AJ$646,4,))*$F60))</f>
        <v>0</v>
      </c>
      <c r="AC60" s="98">
        <f>IF(VLOOKUP($D60,$C$5:$AJ$646,27,)=0,0,((VLOOKUP($D60,$C$5:$AJ$646,27,)/VLOOKUP($D60,$C$5:$AJ$646,4,))*$F60))</f>
        <v>0</v>
      </c>
      <c r="AD60" s="98">
        <f>IF(VLOOKUP($D60,$C$5:$AJ$646,28,)=0,0,((VLOOKUP($D60,$C$5:$AJ$646,28,)/VLOOKUP($D60,$C$5:$AJ$646,4,))*$F60))</f>
        <v>0</v>
      </c>
      <c r="AE60" s="98"/>
      <c r="AF60" s="98">
        <f>IF(VLOOKUP($D60,$C$5:$AJ$646,30,)=0,0,((VLOOKUP($D60,$C$5:$AJ$646,30,)/VLOOKUP($D60,$C$5:$AJ$646,4,))*$F60))</f>
        <v>0</v>
      </c>
      <c r="AG60" s="98"/>
      <c r="AH60" s="98">
        <f>IF(VLOOKUP($D60,$C$5:$AJ$646,32,)=0,0,((VLOOKUP($D60,$C$5:$AJ$646,32,)/VLOOKUP($D60,$C$5:$AJ$646,4,))*$F60))</f>
        <v>0</v>
      </c>
      <c r="AI60" s="98"/>
      <c r="AJ60" s="98">
        <f>IF(VLOOKUP($D60,$C$5:$AJ$646,34,)=0,0,((VLOOKUP($D60,$C$5:$AJ$646,34,)/VLOOKUP($D60,$C$5:$AJ$646,4,))*$F60))</f>
        <v>0</v>
      </c>
      <c r="AK60" s="98">
        <f>SUM(H60:AJ60)</f>
        <v>0</v>
      </c>
      <c r="AL60" s="95" t="str">
        <f>IF(ABS(AK60-F60)&lt;1,"ok","err")</f>
        <v>ok</v>
      </c>
    </row>
    <row r="61" spans="1:38" x14ac:dyDescent="0.25">
      <c r="A61" s="96">
        <v>105</v>
      </c>
      <c r="B61" s="94" t="s">
        <v>619</v>
      </c>
      <c r="C61" s="94" t="s">
        <v>620</v>
      </c>
      <c r="D61" s="94" t="s">
        <v>129</v>
      </c>
      <c r="F61" s="97">
        <f>'Jurisdictional Study'!F751</f>
        <v>722726.88057473651</v>
      </c>
      <c r="H61" s="98">
        <f>IF(VLOOKUP($D61,$C$5:$AJ$646,6,)=0,0,((VLOOKUP($D61,$C$5:$AJ$646,6,)/VLOOKUP($D61,$C$5:$AJ$646,4,))*$F61))</f>
        <v>0</v>
      </c>
      <c r="I61" s="98">
        <f>IF(VLOOKUP($D61,$C$5:$AJ$646,7,)=0,0,((VLOOKUP($D61,$C$5:$AJ$646,7,)/VLOOKUP($D61,$C$5:$AJ$646,4,))*$F61))</f>
        <v>0</v>
      </c>
      <c r="J61" s="98">
        <f>IF(VLOOKUP($D61,$C$5:$AJ$646,8,)=0,0,((VLOOKUP($D61,$C$5:$AJ$646,8,)/VLOOKUP($D61,$C$5:$AJ$646,4,))*$F61))</f>
        <v>0</v>
      </c>
      <c r="K61" s="98">
        <f>IF(VLOOKUP($D61,$C$5:$AJ$646,9,)=0,0,((VLOOKUP($D61,$C$5:$AJ$646,9,)/VLOOKUP($D61,$C$5:$AJ$646,4,))*$F61))</f>
        <v>0</v>
      </c>
      <c r="L61" s="98">
        <f>IF(VLOOKUP($D61,$C$5:$AJ$646,10,)=0,0,((VLOOKUP($D61,$C$5:$AJ$646,10,)/VLOOKUP($D61,$C$5:$AJ$646,4,))*$F61))</f>
        <v>0</v>
      </c>
      <c r="M61" s="98">
        <f>IF(VLOOKUP($D61,$C$5:$AJ$646,11,)=0,0,((VLOOKUP($D61,$C$5:$AJ$646,11,)/VLOOKUP($D61,$C$5:$AJ$646,4,))*$F61))</f>
        <v>0</v>
      </c>
      <c r="N61" s="98"/>
      <c r="O61" s="98">
        <f>IF(VLOOKUP($D61,$C$5:$AJ$646,13,)=0,0,((VLOOKUP($D61,$C$5:$AJ$646,13,)/VLOOKUP($D61,$C$5:$AJ$646,4,))*$F61))</f>
        <v>0</v>
      </c>
      <c r="P61" s="98">
        <f>IF(VLOOKUP($D61,$C$5:$AJ$646,14,)=0,0,((VLOOKUP($D61,$C$5:$AJ$646,14,)/VLOOKUP($D61,$C$5:$AJ$646,4,))*$F61))</f>
        <v>0</v>
      </c>
      <c r="Q61" s="98">
        <f>IF(VLOOKUP($D61,$C$5:$AJ$646,15,)=0,0,((VLOOKUP($D61,$C$5:$AJ$646,15,)/VLOOKUP($D61,$C$5:$AJ$646,4,))*$F61))</f>
        <v>0</v>
      </c>
      <c r="R61" s="98"/>
      <c r="S61" s="98">
        <f>IF(VLOOKUP($D61,$C$5:$AJ$646,17,)=0,0,((VLOOKUP($D61,$C$5:$AJ$646,17,)/VLOOKUP($D61,$C$5:$AJ$646,4,))*$F61))</f>
        <v>0</v>
      </c>
      <c r="T61" s="98">
        <f>IF(VLOOKUP($D61,$C$5:$AJ$646,18,)=0,0,((VLOOKUP($D61,$C$5:$AJ$646,18,)/VLOOKUP($D61,$C$5:$AJ$646,4,))*$F61))</f>
        <v>78510.916775108562</v>
      </c>
      <c r="U61" s="98">
        <f>IF(VLOOKUP($D61,$C$5:$AJ$646,19,)=0,0,((VLOOKUP($D61,$C$5:$AJ$646,19,)/VLOOKUP($D61,$C$5:$AJ$646,4,))*$F61))</f>
        <v>0</v>
      </c>
      <c r="V61" s="98">
        <f>IF(VLOOKUP($D61,$C$5:$AJ$646,20,)=0,0,((VLOOKUP($D61,$C$5:$AJ$646,20,)/VLOOKUP($D61,$C$5:$AJ$646,4,))*$F61))</f>
        <v>127159.09362966901</v>
      </c>
      <c r="W61" s="98">
        <f>IF(VLOOKUP($D61,$C$5:$AJ$646,21,)=0,0,((VLOOKUP($D61,$C$5:$AJ$646,21,)/VLOOKUP($D61,$C$5:$AJ$646,4,))*$F61))</f>
        <v>182002.89481818301</v>
      </c>
      <c r="X61" s="98">
        <f>IF(VLOOKUP($D61,$C$5:$AJ$646,22,)=0,0,((VLOOKUP($D61,$C$5:$AJ$646,22,)/VLOOKUP($D61,$C$5:$AJ$646,4,))*$F61))</f>
        <v>22439.84005229453</v>
      </c>
      <c r="Y61" s="98">
        <f>IF(VLOOKUP($D61,$C$5:$AJ$646,23,)=0,0,((VLOOKUP($D61,$C$5:$AJ$646,23,)/VLOOKUP($D61,$C$5:$AJ$646,4,))*$F61))</f>
        <v>32118.157909091122</v>
      </c>
      <c r="Z61" s="98">
        <f>IF(VLOOKUP($D61,$C$5:$AJ$646,24,)=0,0,((VLOOKUP($D61,$C$5:$AJ$646,24,)/VLOOKUP($D61,$C$5:$AJ$646,4,))*$F61))</f>
        <v>78982.370185374559</v>
      </c>
      <c r="AA61" s="98">
        <f>IF(VLOOKUP($D61,$C$5:$AJ$646,25,)=0,0,((VLOOKUP($D61,$C$5:$AJ$646,25,)/VLOOKUP($D61,$C$5:$AJ$646,4,))*$F61))</f>
        <v>67579.830937977749</v>
      </c>
      <c r="AB61" s="98">
        <f>IF(VLOOKUP($D61,$C$5:$AJ$646,26,)=0,0,((VLOOKUP($D61,$C$5:$AJ$646,26,)/VLOOKUP($D61,$C$5:$AJ$646,4,))*$F61))</f>
        <v>45303.138085479848</v>
      </c>
      <c r="AC61" s="98">
        <f>IF(VLOOKUP($D61,$C$5:$AJ$646,27,)=0,0,((VLOOKUP($D61,$C$5:$AJ$646,27,)/VLOOKUP($D61,$C$5:$AJ$646,4,))*$F61))</f>
        <v>35901.37833764276</v>
      </c>
      <c r="AD61" s="98">
        <f>IF(VLOOKUP($D61,$C$5:$AJ$646,28,)=0,0,((VLOOKUP($D61,$C$5:$AJ$646,28,)/VLOOKUP($D61,$C$5:$AJ$646,4,))*$F61))</f>
        <v>52729.25984391517</v>
      </c>
      <c r="AE61" s="98"/>
      <c r="AF61" s="98">
        <f>IF(VLOOKUP($D61,$C$5:$AJ$646,30,)=0,0,((VLOOKUP($D61,$C$5:$AJ$646,30,)/VLOOKUP($D61,$C$5:$AJ$646,4,))*$F61))</f>
        <v>0</v>
      </c>
      <c r="AG61" s="98"/>
      <c r="AH61" s="98">
        <f>IF(VLOOKUP($D61,$C$5:$AJ$646,32,)=0,0,((VLOOKUP($D61,$C$5:$AJ$646,32,)/VLOOKUP($D61,$C$5:$AJ$646,4,))*$F61))</f>
        <v>0</v>
      </c>
      <c r="AI61" s="98"/>
      <c r="AJ61" s="98">
        <f>IF(VLOOKUP($D61,$C$5:$AJ$646,34,)=0,0,((VLOOKUP($D61,$C$5:$AJ$646,34,)/VLOOKUP($D61,$C$5:$AJ$646,4,))*$F61))</f>
        <v>0</v>
      </c>
      <c r="AK61" s="98">
        <f>SUM(H61:AJ61)</f>
        <v>722726.88057473628</v>
      </c>
      <c r="AL61" s="95" t="str">
        <f>IF(ABS(AK61-F61)&lt;1,"ok","err")</f>
        <v>ok</v>
      </c>
    </row>
    <row r="62" spans="1:38" x14ac:dyDescent="0.25">
      <c r="P62" s="98"/>
      <c r="Q62" s="98"/>
      <c r="Y62" s="94"/>
      <c r="AK62" s="98"/>
      <c r="AL62" s="95"/>
    </row>
    <row r="63" spans="1:38" x14ac:dyDescent="0.25">
      <c r="A63" s="96"/>
      <c r="B63" s="94" t="s">
        <v>1704</v>
      </c>
      <c r="D63" s="94" t="s">
        <v>129</v>
      </c>
      <c r="F63" s="98">
        <f>'Jurisdictional Study'!D697</f>
        <v>786954.55</v>
      </c>
      <c r="H63" s="98">
        <f>IF(VLOOKUP($D63,$C$5:$AJ$646,6,)=0,0,((VLOOKUP($D63,$C$5:$AJ$646,6,)/VLOOKUP($D63,$C$5:$AJ$646,4,))*$F63))</f>
        <v>0</v>
      </c>
      <c r="I63" s="98">
        <f>IF(VLOOKUP($D63,$C$5:$AJ$646,7,)=0,0,((VLOOKUP($D63,$C$5:$AJ$646,7,)/VLOOKUP($D63,$C$5:$AJ$646,4,))*$F63))</f>
        <v>0</v>
      </c>
      <c r="J63" s="98">
        <f>IF(VLOOKUP($D63,$C$5:$AJ$646,8,)=0,0,((VLOOKUP($D63,$C$5:$AJ$646,8,)/VLOOKUP($D63,$C$5:$AJ$646,4,))*$F63))</f>
        <v>0</v>
      </c>
      <c r="K63" s="98">
        <f>IF(VLOOKUP($D63,$C$5:$AJ$646,9,)=0,0,((VLOOKUP($D63,$C$5:$AJ$646,9,)/VLOOKUP($D63,$C$5:$AJ$646,4,))*$F63))</f>
        <v>0</v>
      </c>
      <c r="L63" s="98">
        <f>IF(VLOOKUP($D63,$C$5:$AJ$646,10,)=0,0,((VLOOKUP($D63,$C$5:$AJ$646,10,)/VLOOKUP($D63,$C$5:$AJ$646,4,))*$F63))</f>
        <v>0</v>
      </c>
      <c r="M63" s="98">
        <f>IF(VLOOKUP($D63,$C$5:$AJ$646,11,)=0,0,((VLOOKUP($D63,$C$5:$AJ$646,11,)/VLOOKUP($D63,$C$5:$AJ$646,4,))*$F63))</f>
        <v>0</v>
      </c>
      <c r="N63" s="98"/>
      <c r="O63" s="98">
        <f>IF(VLOOKUP($D63,$C$5:$AJ$646,13,)=0,0,((VLOOKUP($D63,$C$5:$AJ$646,13,)/VLOOKUP($D63,$C$5:$AJ$646,4,))*$F63))</f>
        <v>0</v>
      </c>
      <c r="P63" s="98">
        <f>IF(VLOOKUP($D63,$C$5:$AJ$646,14,)=0,0,((VLOOKUP($D63,$C$5:$AJ$646,14,)/VLOOKUP($D63,$C$5:$AJ$646,4,))*$F63))</f>
        <v>0</v>
      </c>
      <c r="Q63" s="98">
        <f>IF(VLOOKUP($D63,$C$5:$AJ$646,15,)=0,0,((VLOOKUP($D63,$C$5:$AJ$646,15,)/VLOOKUP($D63,$C$5:$AJ$646,4,))*$F63))</f>
        <v>0</v>
      </c>
      <c r="R63" s="98"/>
      <c r="S63" s="98">
        <f>IF(VLOOKUP($D63,$C$5:$AJ$646,17,)=0,0,((VLOOKUP($D63,$C$5:$AJ$646,17,)/VLOOKUP($D63,$C$5:$AJ$646,4,))*$F63))</f>
        <v>0</v>
      </c>
      <c r="T63" s="98">
        <f>IF(VLOOKUP($D63,$C$5:$AJ$646,18,)=0,0,((VLOOKUP($D63,$C$5:$AJ$646,18,)/VLOOKUP($D63,$C$5:$AJ$646,4,))*$F63))</f>
        <v>85488.065881415532</v>
      </c>
      <c r="U63" s="98">
        <f>IF(VLOOKUP($D63,$C$5:$AJ$646,19,)=0,0,((VLOOKUP($D63,$C$5:$AJ$646,19,)/VLOOKUP($D63,$C$5:$AJ$646,4,))*$F63))</f>
        <v>0</v>
      </c>
      <c r="V63" s="98">
        <f>IF(VLOOKUP($D63,$C$5:$AJ$646,20,)=0,0,((VLOOKUP($D63,$C$5:$AJ$646,20,)/VLOOKUP($D63,$C$5:$AJ$646,4,))*$F63))</f>
        <v>138459.5342934613</v>
      </c>
      <c r="W63" s="98">
        <f>IF(VLOOKUP($D63,$C$5:$AJ$646,21,)=0,0,((VLOOKUP($D63,$C$5:$AJ$646,21,)/VLOOKUP($D63,$C$5:$AJ$646,4,))*$F63))</f>
        <v>198177.22301464816</v>
      </c>
      <c r="X63" s="98">
        <f>IF(VLOOKUP($D63,$C$5:$AJ$646,22,)=0,0,((VLOOKUP($D63,$C$5:$AJ$646,22,)/VLOOKUP($D63,$C$5:$AJ$646,4,))*$F63))</f>
        <v>24434.035463551994</v>
      </c>
      <c r="Y63" s="98">
        <f>IF(VLOOKUP($D63,$C$5:$AJ$646,23,)=0,0,((VLOOKUP($D63,$C$5:$AJ$646,23,)/VLOOKUP($D63,$C$5:$AJ$646,4,))*$F63))</f>
        <v>34972.451120232028</v>
      </c>
      <c r="Z63" s="98">
        <f>IF(VLOOKUP($D63,$C$5:$AJ$646,24,)=0,0,((VLOOKUP($D63,$C$5:$AJ$646,24,)/VLOOKUP($D63,$C$5:$AJ$646,4,))*$F63))</f>
        <v>86001.416659273425</v>
      </c>
      <c r="AA63" s="98">
        <f>IF(VLOOKUP($D63,$C$5:$AJ$646,25,)=0,0,((VLOOKUP($D63,$C$5:$AJ$646,25,)/VLOOKUP($D63,$C$5:$AJ$646,4,))*$F63))</f>
        <v>73585.550606032601</v>
      </c>
      <c r="AB63" s="98">
        <f>IF(VLOOKUP($D63,$C$5:$AJ$646,26,)=0,0,((VLOOKUP($D63,$C$5:$AJ$646,26,)/VLOOKUP($D63,$C$5:$AJ$646,4,))*$F63))</f>
        <v>49329.160992732672</v>
      </c>
      <c r="AC63" s="98">
        <f>IF(VLOOKUP($D63,$C$5:$AJ$646,27,)=0,0,((VLOOKUP($D63,$C$5:$AJ$646,27,)/VLOOKUP($D63,$C$5:$AJ$646,4,))*$F63))</f>
        <v>39091.880755302576</v>
      </c>
      <c r="AD63" s="98">
        <f>IF(VLOOKUP($D63,$C$5:$AJ$646,28,)=0,0,((VLOOKUP($D63,$C$5:$AJ$646,28,)/VLOOKUP($D63,$C$5:$AJ$646,4,))*$F63))</f>
        <v>57415.231213349507</v>
      </c>
      <c r="AE63" s="98"/>
      <c r="AF63" s="98">
        <f>IF(VLOOKUP($D63,$C$5:$AJ$646,30,)=0,0,((VLOOKUP($D63,$C$5:$AJ$646,30,)/VLOOKUP($D63,$C$5:$AJ$646,4,))*$F63))</f>
        <v>0</v>
      </c>
      <c r="AG63" s="98"/>
      <c r="AH63" s="98">
        <f>IF(VLOOKUP($D63,$C$5:$AJ$646,32,)=0,0,((VLOOKUP($D63,$C$5:$AJ$646,32,)/VLOOKUP($D63,$C$5:$AJ$646,4,))*$F63))</f>
        <v>0</v>
      </c>
      <c r="AI63" s="98"/>
      <c r="AJ63" s="98">
        <f>IF(VLOOKUP($D63,$C$5:$AJ$646,34,)=0,0,((VLOOKUP($D63,$C$5:$AJ$646,34,)/VLOOKUP($D63,$C$5:$AJ$646,4,))*$F63))</f>
        <v>0</v>
      </c>
      <c r="AK63" s="98">
        <f>SUM(H63:AJ63)</f>
        <v>786954.54999999981</v>
      </c>
      <c r="AL63" s="95" t="str">
        <f>IF(ABS(AK63-F63)&lt;1,"ok","err")</f>
        <v>ok</v>
      </c>
    </row>
    <row r="64" spans="1:38" x14ac:dyDescent="0.25">
      <c r="Y64" s="94"/>
      <c r="AK64" s="98"/>
      <c r="AL64" s="95"/>
    </row>
    <row r="65" spans="1:38" x14ac:dyDescent="0.25">
      <c r="B65" s="94" t="s">
        <v>204</v>
      </c>
      <c r="C65" s="94" t="s">
        <v>205</v>
      </c>
      <c r="F65" s="99">
        <f>F12+F16+F20+F24+F32+F45+F57+F59+F60+F61+F63</f>
        <v>5653048566.0583582</v>
      </c>
      <c r="G65" s="99"/>
      <c r="H65" s="99">
        <f t="shared" ref="H65:M65" si="35">H12+H16+H20+H24+H32+H45+H57+H59+H60+H61+H63</f>
        <v>1273337766.382304</v>
      </c>
      <c r="I65" s="99">
        <f t="shared" si="35"/>
        <v>1200347178.8749757</v>
      </c>
      <c r="J65" s="99">
        <f t="shared" si="35"/>
        <v>1232764839.179965</v>
      </c>
      <c r="K65" s="99">
        <f t="shared" si="35"/>
        <v>0</v>
      </c>
      <c r="L65" s="99">
        <f t="shared" si="35"/>
        <v>0</v>
      </c>
      <c r="M65" s="99">
        <f t="shared" si="35"/>
        <v>0</v>
      </c>
      <c r="N65" s="99"/>
      <c r="O65" s="99">
        <f>O12+O16+O20+O24+O32+O45+O57+O59+O60+O61+O63</f>
        <v>190095927.79762623</v>
      </c>
      <c r="P65" s="99">
        <f>P12+P16+P20+P24+P32+P45+P57+P59+P60+P61+P63</f>
        <v>179199201.24240872</v>
      </c>
      <c r="Q65" s="99">
        <f>Q12+Q16+Q20+Q24+Q32+Q45+Q57+Q59+Q60+Q61+Q63</f>
        <v>184038816.75951815</v>
      </c>
      <c r="R65" s="99"/>
      <c r="S65" s="99">
        <f t="shared" ref="S65:AD65" si="36">S12+S16+S20+S24+S32+S45+S57+S59+S60+S61+S63</f>
        <v>0</v>
      </c>
      <c r="T65" s="99">
        <f t="shared" si="36"/>
        <v>151352471.46734598</v>
      </c>
      <c r="U65" s="99">
        <f t="shared" si="36"/>
        <v>0</v>
      </c>
      <c r="V65" s="99">
        <f t="shared" si="36"/>
        <v>245135885.31295612</v>
      </c>
      <c r="W65" s="99">
        <f t="shared" si="36"/>
        <v>350863154.78711754</v>
      </c>
      <c r="X65" s="99">
        <f t="shared" si="36"/>
        <v>43259273.878756955</v>
      </c>
      <c r="Y65" s="99">
        <f t="shared" si="36"/>
        <v>61917027.315373689</v>
      </c>
      <c r="Z65" s="99">
        <f t="shared" si="36"/>
        <v>152261334.10398877</v>
      </c>
      <c r="AA65" s="99">
        <f t="shared" si="36"/>
        <v>130279645.86258902</v>
      </c>
      <c r="AB65" s="99">
        <f t="shared" si="36"/>
        <v>87334885.339636177</v>
      </c>
      <c r="AC65" s="99">
        <f t="shared" si="36"/>
        <v>69210277.54715012</v>
      </c>
      <c r="AD65" s="99">
        <f t="shared" si="36"/>
        <v>101650880.2066451</v>
      </c>
      <c r="AE65" s="99"/>
      <c r="AF65" s="99">
        <f>AF12+AF16+AF20+AF24+AF32+AF45+AF57+AF59+AF60+AF61+AF63</f>
        <v>0</v>
      </c>
      <c r="AG65" s="99"/>
      <c r="AH65" s="99">
        <f>AH12+AH16+AH20+AH24+AH32+AH45+AH57+AH59+AH60+AH61+AH63</f>
        <v>0</v>
      </c>
      <c r="AI65" s="99"/>
      <c r="AJ65" s="99">
        <f>AJ12+AJ16+AJ20+AJ24+AJ32+AJ45+AJ57+AJ59+AJ60+AJ61+AJ63</f>
        <v>0</v>
      </c>
      <c r="AK65" s="99">
        <f>AK12+AK16+AK20+AK24+AK32+AK45+AK57+AK59+AK60+AK61+AK63</f>
        <v>5653048566.0583582</v>
      </c>
      <c r="AL65" s="95" t="str">
        <f>IF(ABS(AK65-F65)&lt;1,"ok","err")</f>
        <v>ok</v>
      </c>
    </row>
    <row r="66" spans="1:38" x14ac:dyDescent="0.25">
      <c r="AL66" s="95"/>
    </row>
    <row r="67" spans="1:38" x14ac:dyDescent="0.25">
      <c r="A67" s="15"/>
      <c r="AL67" s="95"/>
    </row>
    <row r="68" spans="1:38" x14ac:dyDescent="0.25">
      <c r="A68" s="15" t="s">
        <v>206</v>
      </c>
      <c r="AL68" s="95"/>
    </row>
    <row r="69" spans="1:38" x14ac:dyDescent="0.25">
      <c r="A69" s="15"/>
      <c r="AL69" s="95"/>
    </row>
    <row r="70" spans="1:38" x14ac:dyDescent="0.25">
      <c r="B70" s="94" t="s">
        <v>2032</v>
      </c>
      <c r="C70" s="94" t="s">
        <v>1330</v>
      </c>
      <c r="D70" s="94" t="s">
        <v>882</v>
      </c>
      <c r="F70" s="97">
        <f>'Jurisdictional Study'!F809</f>
        <v>229805037.56414443</v>
      </c>
      <c r="H70" s="98">
        <f>IF(VLOOKUP($D70,$C$5:$AJ$646,6,)=0,0,((VLOOKUP($D70,$C$5:$AJ$646,6,)/VLOOKUP($D70,$C$5:$AJ$646,4,))*$F70))</f>
        <v>78948711.099227235</v>
      </c>
      <c r="I70" s="98">
        <f>IF(VLOOKUP($D70,$C$5:$AJ$646,7,)=0,0,((VLOOKUP($D70,$C$5:$AJ$646,7,)/VLOOKUP($D70,$C$5:$AJ$646,4,))*$F70))</f>
        <v>74423193.23726131</v>
      </c>
      <c r="J70" s="98">
        <f>IF(VLOOKUP($D70,$C$5:$AJ$646,8,)=0,0,((VLOOKUP($D70,$C$5:$AJ$646,8,)/VLOOKUP($D70,$C$5:$AJ$646,4,))*$F70))</f>
        <v>76433133.227655873</v>
      </c>
      <c r="K70" s="98">
        <f>IF(VLOOKUP($D70,$C$5:$AJ$646,9,)=0,0,((VLOOKUP($D70,$C$5:$AJ$646,9,)/VLOOKUP($D70,$C$5:$AJ$646,4,))*$F70))</f>
        <v>0</v>
      </c>
      <c r="L70" s="98">
        <f>IF(VLOOKUP($D70,$C$5:$AJ$646,10,)=0,0,((VLOOKUP($D70,$C$5:$AJ$646,10,)/VLOOKUP($D70,$C$5:$AJ$646,4,))*$F70))</f>
        <v>0</v>
      </c>
      <c r="M70" s="98">
        <f>IF(VLOOKUP($D70,$C$5:$AJ$646,11,)=0,0,((VLOOKUP($D70,$C$5:$AJ$646,11,)/VLOOKUP($D70,$C$5:$AJ$646,4,))*$F70))</f>
        <v>0</v>
      </c>
      <c r="N70" s="98"/>
      <c r="O70" s="98">
        <f>IF(VLOOKUP($D70,$C$5:$AJ$646,13,)=0,0,((VLOOKUP($D70,$C$5:$AJ$646,13,)/VLOOKUP($D70,$C$5:$AJ$646,4,))*$F70))</f>
        <v>0</v>
      </c>
      <c r="P70" s="98">
        <f>IF(VLOOKUP($D70,$C$5:$AJ$646,14,)=0,0,((VLOOKUP($D70,$C$5:$AJ$646,14,)/VLOOKUP($D70,$C$5:$AJ$646,4,))*$F70))</f>
        <v>0</v>
      </c>
      <c r="Q70" s="98">
        <f>IF(VLOOKUP($D70,$C$5:$AJ$646,15,)=0,0,((VLOOKUP($D70,$C$5:$AJ$646,15,)/VLOOKUP($D70,$C$5:$AJ$646,4,))*$F70))</f>
        <v>0</v>
      </c>
      <c r="R70" s="98"/>
      <c r="S70" s="98">
        <f>IF(VLOOKUP($D70,$C$5:$AJ$646,17,)=0,0,((VLOOKUP($D70,$C$5:$AJ$646,17,)/VLOOKUP($D70,$C$5:$AJ$646,4,))*$F70))</f>
        <v>0</v>
      </c>
      <c r="T70" s="98">
        <f>IF(VLOOKUP($D70,$C$5:$AJ$646,18,)=0,0,((VLOOKUP($D70,$C$5:$AJ$646,18,)/VLOOKUP($D70,$C$5:$AJ$646,4,))*$F70))</f>
        <v>0</v>
      </c>
      <c r="U70" s="98">
        <f>IF(VLOOKUP($D70,$C$5:$AJ$646,19,)=0,0,((VLOOKUP($D70,$C$5:$AJ$646,19,)/VLOOKUP($D70,$C$5:$AJ$646,4,))*$F70))</f>
        <v>0</v>
      </c>
      <c r="V70" s="98">
        <f>IF(VLOOKUP($D70,$C$5:$AJ$646,20,)=0,0,((VLOOKUP($D70,$C$5:$AJ$646,20,)/VLOOKUP($D70,$C$5:$AJ$646,4,))*$F70))</f>
        <v>0</v>
      </c>
      <c r="W70" s="98">
        <f>IF(VLOOKUP($D70,$C$5:$AJ$646,21,)=0,0,((VLOOKUP($D70,$C$5:$AJ$646,21,)/VLOOKUP($D70,$C$5:$AJ$646,4,))*$F70))</f>
        <v>0</v>
      </c>
      <c r="X70" s="98">
        <f>IF(VLOOKUP($D70,$C$5:$AJ$646,22,)=0,0,((VLOOKUP($D70,$C$5:$AJ$646,22,)/VLOOKUP($D70,$C$5:$AJ$646,4,))*$F70))</f>
        <v>0</v>
      </c>
      <c r="Y70" s="98">
        <f>IF(VLOOKUP($D70,$C$5:$AJ$646,23,)=0,0,((VLOOKUP($D70,$C$5:$AJ$646,23,)/VLOOKUP($D70,$C$5:$AJ$646,4,))*$F70))</f>
        <v>0</v>
      </c>
      <c r="Z70" s="98">
        <f>IF(VLOOKUP($D70,$C$5:$AJ$646,24,)=0,0,((VLOOKUP($D70,$C$5:$AJ$646,24,)/VLOOKUP($D70,$C$5:$AJ$646,4,))*$F70))</f>
        <v>0</v>
      </c>
      <c r="AA70" s="98">
        <f>IF(VLOOKUP($D70,$C$5:$AJ$646,25,)=0,0,((VLOOKUP($D70,$C$5:$AJ$646,25,)/VLOOKUP($D70,$C$5:$AJ$646,4,))*$F70))</f>
        <v>0</v>
      </c>
      <c r="AB70" s="98">
        <f>IF(VLOOKUP($D70,$C$5:$AJ$646,26,)=0,0,((VLOOKUP($D70,$C$5:$AJ$646,26,)/VLOOKUP($D70,$C$5:$AJ$646,4,))*$F70))</f>
        <v>0</v>
      </c>
      <c r="AC70" s="98">
        <f>IF(VLOOKUP($D70,$C$5:$AJ$646,27,)=0,0,((VLOOKUP($D70,$C$5:$AJ$646,27,)/VLOOKUP($D70,$C$5:$AJ$646,4,))*$F70))</f>
        <v>0</v>
      </c>
      <c r="AD70" s="98">
        <f>IF(VLOOKUP($D70,$C$5:$AJ$646,28,)=0,0,((VLOOKUP($D70,$C$5:$AJ$646,28,)/VLOOKUP($D70,$C$5:$AJ$646,4,))*$F70))</f>
        <v>0</v>
      </c>
      <c r="AE70" s="98"/>
      <c r="AF70" s="98">
        <f>IF(VLOOKUP($D70,$C$5:$AJ$646,30,)=0,0,((VLOOKUP($D70,$C$5:$AJ$646,30,)/VLOOKUP($D70,$C$5:$AJ$646,4,))*$F70))</f>
        <v>0</v>
      </c>
      <c r="AG70" s="98"/>
      <c r="AH70" s="98">
        <f>IF(VLOOKUP($D70,$C$5:$AJ$646,32,)=0,0,((VLOOKUP($D70,$C$5:$AJ$646,32,)/VLOOKUP($D70,$C$5:$AJ$646,4,))*$F70))</f>
        <v>0</v>
      </c>
      <c r="AI70" s="98"/>
      <c r="AJ70" s="98">
        <f>IF(VLOOKUP($D70,$C$5:$AJ$646,34,)=0,0,((VLOOKUP($D70,$C$5:$AJ$646,34,)/VLOOKUP($D70,$C$5:$AJ$646,4,))*$F70))</f>
        <v>0</v>
      </c>
      <c r="AK70" s="98">
        <f>SUM(H70:AJ70)</f>
        <v>229805037.56414443</v>
      </c>
      <c r="AL70" s="95" t="str">
        <f>IF(ABS(AK70-F70)&lt;1,"ok","err")</f>
        <v>ok</v>
      </c>
    </row>
    <row r="71" spans="1:38" x14ac:dyDescent="0.25">
      <c r="B71" s="94" t="s">
        <v>1705</v>
      </c>
      <c r="C71" s="94" t="s">
        <v>1331</v>
      </c>
      <c r="D71" s="94" t="s">
        <v>585</v>
      </c>
      <c r="F71" s="98">
        <f>'Jurisdictional Study'!F817</f>
        <v>36186518.394817472</v>
      </c>
      <c r="H71" s="98">
        <f>IF(VLOOKUP($D71,$C$5:$AJ$646,6,)=0,0,((VLOOKUP($D71,$C$5:$AJ$646,6,)/VLOOKUP($D71,$C$5:$AJ$646,4,))*$F71))</f>
        <v>0</v>
      </c>
      <c r="I71" s="98">
        <f>IF(VLOOKUP($D71,$C$5:$AJ$646,7,)=0,0,((VLOOKUP($D71,$C$5:$AJ$646,7,)/VLOOKUP($D71,$C$5:$AJ$646,4,))*$F71))</f>
        <v>0</v>
      </c>
      <c r="J71" s="98">
        <f>IF(VLOOKUP($D71,$C$5:$AJ$646,8,)=0,0,((VLOOKUP($D71,$C$5:$AJ$646,8,)/VLOOKUP($D71,$C$5:$AJ$646,4,))*$F71))</f>
        <v>0</v>
      </c>
      <c r="K71" s="98">
        <f>IF(VLOOKUP($D71,$C$5:$AJ$646,9,)=0,0,((VLOOKUP($D71,$C$5:$AJ$646,9,)/VLOOKUP($D71,$C$5:$AJ$646,4,))*$F71))</f>
        <v>0</v>
      </c>
      <c r="L71" s="98">
        <f>IF(VLOOKUP($D71,$C$5:$AJ$646,10,)=0,0,((VLOOKUP($D71,$C$5:$AJ$646,10,)/VLOOKUP($D71,$C$5:$AJ$646,4,))*$F71))</f>
        <v>0</v>
      </c>
      <c r="M71" s="98">
        <f>IF(VLOOKUP($D71,$C$5:$AJ$646,11,)=0,0,((VLOOKUP($D71,$C$5:$AJ$646,11,)/VLOOKUP($D71,$C$5:$AJ$646,4,))*$F71))</f>
        <v>0</v>
      </c>
      <c r="N71" s="98"/>
      <c r="O71" s="98">
        <f>IF(VLOOKUP($D71,$C$5:$AJ$646,13,)=0,0,((VLOOKUP($D71,$C$5:$AJ$646,13,)/VLOOKUP($D71,$C$5:$AJ$646,4,))*$F71))</f>
        <v>12431750.91686965</v>
      </c>
      <c r="P71" s="98">
        <f>IF(VLOOKUP($D71,$C$5:$AJ$646,14,)=0,0,((VLOOKUP($D71,$C$5:$AJ$646,14,)/VLOOKUP($D71,$C$5:$AJ$646,4,))*$F71))</f>
        <v>11719134.966001321</v>
      </c>
      <c r="Q71" s="98">
        <f>IF(VLOOKUP($D71,$C$5:$AJ$646,15,)=0,0,((VLOOKUP($D71,$C$5:$AJ$646,15,)/VLOOKUP($D71,$C$5:$AJ$646,4,))*$F71))</f>
        <v>12035632.511946503</v>
      </c>
      <c r="R71" s="98"/>
      <c r="S71" s="98">
        <f>IF(VLOOKUP($D71,$C$5:$AJ$646,17,)=0,0,((VLOOKUP($D71,$C$5:$AJ$646,17,)/VLOOKUP($D71,$C$5:$AJ$646,4,))*$F71))</f>
        <v>0</v>
      </c>
      <c r="T71" s="98">
        <f>IF(VLOOKUP($D71,$C$5:$AJ$646,18,)=0,0,((VLOOKUP($D71,$C$5:$AJ$646,18,)/VLOOKUP($D71,$C$5:$AJ$646,4,))*$F71))</f>
        <v>0</v>
      </c>
      <c r="U71" s="98">
        <f>IF(VLOOKUP($D71,$C$5:$AJ$646,19,)=0,0,((VLOOKUP($D71,$C$5:$AJ$646,19,)/VLOOKUP($D71,$C$5:$AJ$646,4,))*$F71))</f>
        <v>0</v>
      </c>
      <c r="V71" s="98">
        <f>IF(VLOOKUP($D71,$C$5:$AJ$646,20,)=0,0,((VLOOKUP($D71,$C$5:$AJ$646,20,)/VLOOKUP($D71,$C$5:$AJ$646,4,))*$F71))</f>
        <v>0</v>
      </c>
      <c r="W71" s="98">
        <f>IF(VLOOKUP($D71,$C$5:$AJ$646,21,)=0,0,((VLOOKUP($D71,$C$5:$AJ$646,21,)/VLOOKUP($D71,$C$5:$AJ$646,4,))*$F71))</f>
        <v>0</v>
      </c>
      <c r="X71" s="98">
        <f>IF(VLOOKUP($D71,$C$5:$AJ$646,22,)=0,0,((VLOOKUP($D71,$C$5:$AJ$646,22,)/VLOOKUP($D71,$C$5:$AJ$646,4,))*$F71))</f>
        <v>0</v>
      </c>
      <c r="Y71" s="98">
        <f>IF(VLOOKUP($D71,$C$5:$AJ$646,23,)=0,0,((VLOOKUP($D71,$C$5:$AJ$646,23,)/VLOOKUP($D71,$C$5:$AJ$646,4,))*$F71))</f>
        <v>0</v>
      </c>
      <c r="Z71" s="98">
        <f>IF(VLOOKUP($D71,$C$5:$AJ$646,24,)=0,0,((VLOOKUP($D71,$C$5:$AJ$646,24,)/VLOOKUP($D71,$C$5:$AJ$646,4,))*$F71))</f>
        <v>0</v>
      </c>
      <c r="AA71" s="98">
        <f>IF(VLOOKUP($D71,$C$5:$AJ$646,25,)=0,0,((VLOOKUP($D71,$C$5:$AJ$646,25,)/VLOOKUP($D71,$C$5:$AJ$646,4,))*$F71))</f>
        <v>0</v>
      </c>
      <c r="AB71" s="98">
        <f>IF(VLOOKUP($D71,$C$5:$AJ$646,26,)=0,0,((VLOOKUP($D71,$C$5:$AJ$646,26,)/VLOOKUP($D71,$C$5:$AJ$646,4,))*$F71))</f>
        <v>0</v>
      </c>
      <c r="AC71" s="98">
        <f>IF(VLOOKUP($D71,$C$5:$AJ$646,27,)=0,0,((VLOOKUP($D71,$C$5:$AJ$646,27,)/VLOOKUP($D71,$C$5:$AJ$646,4,))*$F71))</f>
        <v>0</v>
      </c>
      <c r="AD71" s="98">
        <f>IF(VLOOKUP($D71,$C$5:$AJ$646,28,)=0,0,((VLOOKUP($D71,$C$5:$AJ$646,28,)/VLOOKUP($D71,$C$5:$AJ$646,4,))*$F71))</f>
        <v>0</v>
      </c>
      <c r="AE71" s="98"/>
      <c r="AF71" s="98">
        <f>IF(VLOOKUP($D71,$C$5:$AJ$646,30,)=0,0,((VLOOKUP($D71,$C$5:$AJ$646,30,)/VLOOKUP($D71,$C$5:$AJ$646,4,))*$F71))</f>
        <v>0</v>
      </c>
      <c r="AG71" s="98"/>
      <c r="AH71" s="98">
        <f>IF(VLOOKUP($D71,$C$5:$AJ$646,32,)=0,0,((VLOOKUP($D71,$C$5:$AJ$646,32,)/VLOOKUP($D71,$C$5:$AJ$646,4,))*$F71))</f>
        <v>0</v>
      </c>
      <c r="AI71" s="98"/>
      <c r="AJ71" s="98">
        <f>IF(VLOOKUP($D71,$C$5:$AJ$646,34,)=0,0,((VLOOKUP($D71,$C$5:$AJ$646,34,)/VLOOKUP($D71,$C$5:$AJ$646,4,))*$F71))</f>
        <v>0</v>
      </c>
      <c r="AK71" s="98">
        <f>SUM(H71:AJ71)</f>
        <v>36186518.394817472</v>
      </c>
      <c r="AL71" s="95" t="str">
        <f>IF(ABS(AK71-F71)&lt;1,"ok","err")</f>
        <v>ok</v>
      </c>
    </row>
    <row r="72" spans="1:38" x14ac:dyDescent="0.25">
      <c r="B72" s="94" t="s">
        <v>1710</v>
      </c>
      <c r="C72" s="94" t="s">
        <v>603</v>
      </c>
      <c r="D72" s="94" t="s">
        <v>129</v>
      </c>
      <c r="F72" s="98">
        <f>'Jurisdictional Study'!F821</f>
        <v>21196764.524602309</v>
      </c>
      <c r="H72" s="98">
        <f>IF(VLOOKUP($D72,$C$5:$AJ$646,6,)=0,0,((VLOOKUP($D72,$C$5:$AJ$646,6,)/VLOOKUP($D72,$C$5:$AJ$646,4,))*$F72))</f>
        <v>0</v>
      </c>
      <c r="I72" s="98">
        <f>IF(VLOOKUP($D72,$C$5:$AJ$646,7,)=0,0,((VLOOKUP($D72,$C$5:$AJ$646,7,)/VLOOKUP($D72,$C$5:$AJ$646,4,))*$F72))</f>
        <v>0</v>
      </c>
      <c r="J72" s="98">
        <f>IF(VLOOKUP($D72,$C$5:$AJ$646,8,)=0,0,((VLOOKUP($D72,$C$5:$AJ$646,8,)/VLOOKUP($D72,$C$5:$AJ$646,4,))*$F72))</f>
        <v>0</v>
      </c>
      <c r="K72" s="98">
        <f>IF(VLOOKUP($D72,$C$5:$AJ$646,9,)=0,0,((VLOOKUP($D72,$C$5:$AJ$646,9,)/VLOOKUP($D72,$C$5:$AJ$646,4,))*$F72))</f>
        <v>0</v>
      </c>
      <c r="L72" s="98">
        <f>IF(VLOOKUP($D72,$C$5:$AJ$646,10,)=0,0,((VLOOKUP($D72,$C$5:$AJ$646,10,)/VLOOKUP($D72,$C$5:$AJ$646,4,))*$F72))</f>
        <v>0</v>
      </c>
      <c r="M72" s="98">
        <f>IF(VLOOKUP($D72,$C$5:$AJ$646,11,)=0,0,((VLOOKUP($D72,$C$5:$AJ$646,11,)/VLOOKUP($D72,$C$5:$AJ$646,4,))*$F72))</f>
        <v>0</v>
      </c>
      <c r="N72" s="98"/>
      <c r="O72" s="98">
        <f>IF(VLOOKUP($D72,$C$5:$AJ$646,13,)=0,0,((VLOOKUP($D72,$C$5:$AJ$646,13,)/VLOOKUP($D72,$C$5:$AJ$646,4,))*$F72))</f>
        <v>0</v>
      </c>
      <c r="P72" s="98">
        <f>IF(VLOOKUP($D72,$C$5:$AJ$646,14,)=0,0,((VLOOKUP($D72,$C$5:$AJ$646,14,)/VLOOKUP($D72,$C$5:$AJ$646,4,))*$F72))</f>
        <v>0</v>
      </c>
      <c r="Q72" s="98">
        <f>IF(VLOOKUP($D72,$C$5:$AJ$646,15,)=0,0,((VLOOKUP($D72,$C$5:$AJ$646,15,)/VLOOKUP($D72,$C$5:$AJ$646,4,))*$F72))</f>
        <v>0</v>
      </c>
      <c r="R72" s="98"/>
      <c r="S72" s="98">
        <f>IF(VLOOKUP($D72,$C$5:$AJ$646,17,)=0,0,((VLOOKUP($D72,$C$5:$AJ$646,17,)/VLOOKUP($D72,$C$5:$AJ$646,4,))*$F72))</f>
        <v>0</v>
      </c>
      <c r="T72" s="98">
        <f>IF(VLOOKUP($D72,$C$5:$AJ$646,18,)=0,0,((VLOOKUP($D72,$C$5:$AJ$646,18,)/VLOOKUP($D72,$C$5:$AJ$646,4,))*$F72))</f>
        <v>2302636.6670756955</v>
      </c>
      <c r="U72" s="98">
        <f>IF(VLOOKUP($D72,$C$5:$AJ$646,19,)=0,0,((VLOOKUP($D72,$C$5:$AJ$646,19,)/VLOOKUP($D72,$C$5:$AJ$646,4,))*$F72))</f>
        <v>0</v>
      </c>
      <c r="V72" s="98">
        <f>IF(VLOOKUP($D72,$C$5:$AJ$646,20,)=0,0,((VLOOKUP($D72,$C$5:$AJ$646,20,)/VLOOKUP($D72,$C$5:$AJ$646,4,))*$F72))</f>
        <v>3729432.8428555336</v>
      </c>
      <c r="W72" s="98">
        <f>IF(VLOOKUP($D72,$C$5:$AJ$646,21,)=0,0,((VLOOKUP($D72,$C$5:$AJ$646,21,)/VLOOKUP($D72,$C$5:$AJ$646,4,))*$F72))</f>
        <v>5337939.6947143823</v>
      </c>
      <c r="X72" s="98">
        <f>IF(VLOOKUP($D72,$C$5:$AJ$646,22,)=0,0,((VLOOKUP($D72,$C$5:$AJ$646,22,)/VLOOKUP($D72,$C$5:$AJ$646,4,))*$F72))</f>
        <v>658135.20756274124</v>
      </c>
      <c r="Y72" s="98">
        <f>IF(VLOOKUP($D72,$C$5:$AJ$646,23,)=0,0,((VLOOKUP($D72,$C$5:$AJ$646,23,)/VLOOKUP($D72,$C$5:$AJ$646,4,))*$F72))</f>
        <v>941989.35789077345</v>
      </c>
      <c r="Z72" s="98">
        <f>IF(VLOOKUP($D72,$C$5:$AJ$646,24,)=0,0,((VLOOKUP($D72,$C$5:$AJ$646,24,)/VLOOKUP($D72,$C$5:$AJ$646,4,))*$F72))</f>
        <v>2316463.8640297954</v>
      </c>
      <c r="AA72" s="98">
        <f>IF(VLOOKUP($D72,$C$5:$AJ$646,25,)=0,0,((VLOOKUP($D72,$C$5:$AJ$646,25,)/VLOOKUP($D72,$C$5:$AJ$646,4,))*$F72))</f>
        <v>1982040.2443943932</v>
      </c>
      <c r="AB72" s="98">
        <f>IF(VLOOKUP($D72,$C$5:$AJ$646,26,)=0,0,((VLOOKUP($D72,$C$5:$AJ$646,26,)/VLOOKUP($D72,$C$5:$AJ$646,4,))*$F72))</f>
        <v>1328689.9602513916</v>
      </c>
      <c r="AC72" s="98">
        <f>IF(VLOOKUP($D72,$C$5:$AJ$646,27,)=0,0,((VLOOKUP($D72,$C$5:$AJ$646,27,)/VLOOKUP($D72,$C$5:$AJ$646,4,))*$F72))</f>
        <v>1052946.9474367755</v>
      </c>
      <c r="AD72" s="98">
        <f>IF(VLOOKUP($D72,$C$5:$AJ$646,28,)=0,0,((VLOOKUP($D72,$C$5:$AJ$646,28,)/VLOOKUP($D72,$C$5:$AJ$646,4,))*$F72))</f>
        <v>1546489.7383908206</v>
      </c>
      <c r="AE72" s="98"/>
      <c r="AF72" s="98">
        <f>IF(VLOOKUP($D72,$C$5:$AJ$646,30,)=0,0,((VLOOKUP($D72,$C$5:$AJ$646,30,)/VLOOKUP($D72,$C$5:$AJ$646,4,))*$F72))</f>
        <v>0</v>
      </c>
      <c r="AG72" s="98"/>
      <c r="AH72" s="98">
        <f>IF(VLOOKUP($D72,$C$5:$AJ$646,32,)=0,0,((VLOOKUP($D72,$C$5:$AJ$646,32,)/VLOOKUP($D72,$C$5:$AJ$646,4,))*$F72))</f>
        <v>0</v>
      </c>
      <c r="AI72" s="98"/>
      <c r="AJ72" s="98">
        <f>IF(VLOOKUP($D72,$C$5:$AJ$646,34,)=0,0,((VLOOKUP($D72,$C$5:$AJ$646,34,)/VLOOKUP($D72,$C$5:$AJ$646,4,))*$F72))</f>
        <v>0</v>
      </c>
      <c r="AK72" s="98">
        <f>SUM(H72:AJ72)</f>
        <v>21196764.524602301</v>
      </c>
      <c r="AL72" s="95" t="str">
        <f>IF(ABS(AK72-F72)&lt;1,"ok","err")</f>
        <v>ok</v>
      </c>
    </row>
    <row r="73" spans="1:38" x14ac:dyDescent="0.25">
      <c r="B73" s="94" t="s">
        <v>1709</v>
      </c>
      <c r="C73" s="94" t="s">
        <v>604</v>
      </c>
      <c r="D73" s="94" t="s">
        <v>586</v>
      </c>
      <c r="F73" s="98">
        <f>'Jurisdictional Study'!F823</f>
        <v>12374679.4873465</v>
      </c>
      <c r="H73" s="98">
        <f>IF(VLOOKUP($D73,$C$5:$AJ$646,6,)=0,0,((VLOOKUP($D73,$C$5:$AJ$646,6,)/VLOOKUP($D73,$C$5:$AJ$646,4,))*$F73))</f>
        <v>2788116.1325766034</v>
      </c>
      <c r="I73" s="98">
        <f>IF(VLOOKUP($D73,$C$5:$AJ$646,7,)=0,0,((VLOOKUP($D73,$C$5:$AJ$646,7,)/VLOOKUP($D73,$C$5:$AJ$646,4,))*$F73))</f>
        <v>2628295.0388116636</v>
      </c>
      <c r="J73" s="98">
        <f>IF(VLOOKUP($D73,$C$5:$AJ$646,8,)=0,0,((VLOOKUP($D73,$C$5:$AJ$646,8,)/VLOOKUP($D73,$C$5:$AJ$646,4,))*$F73))</f>
        <v>2699277.1490285937</v>
      </c>
      <c r="K73" s="98">
        <f>IF(VLOOKUP($D73,$C$5:$AJ$646,9,)=0,0,((VLOOKUP($D73,$C$5:$AJ$646,9,)/VLOOKUP($D73,$C$5:$AJ$646,4,))*$F73))</f>
        <v>0</v>
      </c>
      <c r="L73" s="98">
        <f>IF(VLOOKUP($D73,$C$5:$AJ$646,10,)=0,0,((VLOOKUP($D73,$C$5:$AJ$646,10,)/VLOOKUP($D73,$C$5:$AJ$646,4,))*$F73))</f>
        <v>0</v>
      </c>
      <c r="M73" s="98">
        <f>IF(VLOOKUP($D73,$C$5:$AJ$646,11,)=0,0,((VLOOKUP($D73,$C$5:$AJ$646,11,)/VLOOKUP($D73,$C$5:$AJ$646,4,))*$F73))</f>
        <v>0</v>
      </c>
      <c r="N73" s="98"/>
      <c r="O73" s="98">
        <f>IF(VLOOKUP($D73,$C$5:$AJ$646,13,)=0,0,((VLOOKUP($D73,$C$5:$AJ$646,13,)/VLOOKUP($D73,$C$5:$AJ$646,4,))*$F73))</f>
        <v>416236.39620420249</v>
      </c>
      <c r="P73" s="98">
        <f>IF(VLOOKUP($D73,$C$5:$AJ$646,14,)=0,0,((VLOOKUP($D73,$C$5:$AJ$646,14,)/VLOOKUP($D73,$C$5:$AJ$646,4,))*$F73))</f>
        <v>392376.78887692239</v>
      </c>
      <c r="Q73" s="98">
        <f>IF(VLOOKUP($D73,$C$5:$AJ$646,15,)=0,0,((VLOOKUP($D73,$C$5:$AJ$646,15,)/VLOOKUP($D73,$C$5:$AJ$646,4,))*$F73))</f>
        <v>402973.67091008241</v>
      </c>
      <c r="R73" s="98"/>
      <c r="S73" s="98">
        <f>IF(VLOOKUP($D73,$C$5:$AJ$646,17,)=0,0,((VLOOKUP($D73,$C$5:$AJ$646,17,)/VLOOKUP($D73,$C$5:$AJ$646,4,))*$F73))</f>
        <v>0</v>
      </c>
      <c r="T73" s="98">
        <f>IF(VLOOKUP($D73,$C$5:$AJ$646,18,)=0,0,((VLOOKUP($D73,$C$5:$AJ$646,18,)/VLOOKUP($D73,$C$5:$AJ$646,4,))*$F73))</f>
        <v>331044.15051773243</v>
      </c>
      <c r="U73" s="98">
        <f>IF(VLOOKUP($D73,$C$5:$AJ$646,19,)=0,0,((VLOOKUP($D73,$C$5:$AJ$646,19,)/VLOOKUP($D73,$C$5:$AJ$646,4,))*$F73))</f>
        <v>0</v>
      </c>
      <c r="V73" s="98">
        <f>IF(VLOOKUP($D73,$C$5:$AJ$646,20,)=0,0,((VLOOKUP($D73,$C$5:$AJ$646,20,)/VLOOKUP($D73,$C$5:$AJ$646,4,))*$F73))</f>
        <v>536170.96653983602</v>
      </c>
      <c r="W73" s="98">
        <f>IF(VLOOKUP($D73,$C$5:$AJ$646,21,)=0,0,((VLOOKUP($D73,$C$5:$AJ$646,21,)/VLOOKUP($D73,$C$5:$AJ$646,4,))*$F73))</f>
        <v>767421.85904464987</v>
      </c>
      <c r="X73" s="98">
        <f>IF(VLOOKUP($D73,$C$5:$AJ$646,22,)=0,0,((VLOOKUP($D73,$C$5:$AJ$646,22,)/VLOOKUP($D73,$C$5:$AJ$646,4,))*$F73))</f>
        <v>94618.405859971055</v>
      </c>
      <c r="Y73" s="98">
        <f>IF(VLOOKUP($D73,$C$5:$AJ$646,23,)=0,0,((VLOOKUP($D73,$C$5:$AJ$646,23,)/VLOOKUP($D73,$C$5:$AJ$646,4,))*$F73))</f>
        <v>135427.38689023236</v>
      </c>
      <c r="Z73" s="98">
        <f>IF(VLOOKUP($D73,$C$5:$AJ$646,24,)=0,0,((VLOOKUP($D73,$C$5:$AJ$646,24,)/VLOOKUP($D73,$C$5:$AJ$646,4,))*$F73))</f>
        <v>333032.05105591187</v>
      </c>
      <c r="AA73" s="98">
        <f>IF(VLOOKUP($D73,$C$5:$AJ$646,25,)=0,0,((VLOOKUP($D73,$C$5:$AJ$646,25,)/VLOOKUP($D73,$C$5:$AJ$646,4,))*$F73))</f>
        <v>284952.82750395423</v>
      </c>
      <c r="AB73" s="98">
        <f>IF(VLOOKUP($D73,$C$5:$AJ$646,26,)=0,0,((VLOOKUP($D73,$C$5:$AJ$646,26,)/VLOOKUP($D73,$C$5:$AJ$646,4,))*$F73))</f>
        <v>191022.33777570701</v>
      </c>
      <c r="AC73" s="98">
        <f>IF(VLOOKUP($D73,$C$5:$AJ$646,27,)=0,0,((VLOOKUP($D73,$C$5:$AJ$646,27,)/VLOOKUP($D73,$C$5:$AJ$646,4,))*$F73))</f>
        <v>151379.47412134567</v>
      </c>
      <c r="AD73" s="98">
        <f>IF(VLOOKUP($D73,$C$5:$AJ$646,28,)=0,0,((VLOOKUP($D73,$C$5:$AJ$646,28,)/VLOOKUP($D73,$C$5:$AJ$646,4,))*$F73))</f>
        <v>222334.85162909108</v>
      </c>
      <c r="AE73" s="98"/>
      <c r="AF73" s="98">
        <f>IF(VLOOKUP($D73,$C$5:$AJ$646,30,)=0,0,((VLOOKUP($D73,$C$5:$AJ$646,30,)/VLOOKUP($D73,$C$5:$AJ$646,4,))*$F73))</f>
        <v>0</v>
      </c>
      <c r="AG73" s="98"/>
      <c r="AH73" s="98">
        <f>IF(VLOOKUP($D73,$C$5:$AJ$646,32,)=0,0,((VLOOKUP($D73,$C$5:$AJ$646,32,)/VLOOKUP($D73,$C$5:$AJ$646,4,))*$F73))</f>
        <v>0</v>
      </c>
      <c r="AI73" s="98"/>
      <c r="AJ73" s="98">
        <f>IF(VLOOKUP($D73,$C$5:$AJ$646,34,)=0,0,((VLOOKUP($D73,$C$5:$AJ$646,34,)/VLOOKUP($D73,$C$5:$AJ$646,4,))*$F73))</f>
        <v>0</v>
      </c>
      <c r="AK73" s="98">
        <f>SUM(H73:AJ73)</f>
        <v>12374679.487346502</v>
      </c>
      <c r="AL73" s="95" t="str">
        <f>IF(ABS(AK73-F73)&lt;1,"ok","err")</f>
        <v>ok</v>
      </c>
    </row>
    <row r="74" spans="1:38" x14ac:dyDescent="0.25">
      <c r="B74" s="94" t="s">
        <v>1711</v>
      </c>
      <c r="C74" s="94" t="s">
        <v>605</v>
      </c>
      <c r="D74" s="94" t="s">
        <v>138</v>
      </c>
      <c r="F74" s="98">
        <v>0</v>
      </c>
      <c r="H74" s="98">
        <f>IF(VLOOKUP($D74,$C$5:$AJ$646,6,)=0,0,((VLOOKUP($D74,$C$5:$AJ$646,6,)/VLOOKUP($D74,$C$5:$AJ$646,4,))*$F74))</f>
        <v>0</v>
      </c>
      <c r="I74" s="98">
        <f>IF(VLOOKUP($D74,$C$5:$AJ$646,7,)=0,0,((VLOOKUP($D74,$C$5:$AJ$646,7,)/VLOOKUP($D74,$C$5:$AJ$646,4,))*$F74))</f>
        <v>0</v>
      </c>
      <c r="J74" s="98">
        <f>IF(VLOOKUP($D74,$C$5:$AJ$646,8,)=0,0,((VLOOKUP($D74,$C$5:$AJ$646,8,)/VLOOKUP($D74,$C$5:$AJ$646,4,))*$F74))</f>
        <v>0</v>
      </c>
      <c r="K74" s="98">
        <f>IF(VLOOKUP($D74,$C$5:$AJ$646,9,)=0,0,((VLOOKUP($D74,$C$5:$AJ$646,9,)/VLOOKUP($D74,$C$5:$AJ$646,4,))*$F74))</f>
        <v>0</v>
      </c>
      <c r="L74" s="98">
        <f>IF(VLOOKUP($D74,$C$5:$AJ$646,10,)=0,0,((VLOOKUP($D74,$C$5:$AJ$646,10,)/VLOOKUP($D74,$C$5:$AJ$646,4,))*$F74))</f>
        <v>0</v>
      </c>
      <c r="M74" s="98">
        <f>IF(VLOOKUP($D74,$C$5:$AJ$646,11,)=0,0,((VLOOKUP($D74,$C$5:$AJ$646,11,)/VLOOKUP($D74,$C$5:$AJ$646,4,))*$F74))</f>
        <v>0</v>
      </c>
      <c r="N74" s="98"/>
      <c r="O74" s="98">
        <f>IF(VLOOKUP($D74,$C$5:$AJ$646,13,)=0,0,((VLOOKUP($D74,$C$5:$AJ$646,13,)/VLOOKUP($D74,$C$5:$AJ$646,4,))*$F74))</f>
        <v>0</v>
      </c>
      <c r="P74" s="98">
        <f>IF(VLOOKUP($D74,$C$5:$AJ$646,14,)=0,0,((VLOOKUP($D74,$C$5:$AJ$646,14,)/VLOOKUP($D74,$C$5:$AJ$646,4,))*$F74))</f>
        <v>0</v>
      </c>
      <c r="Q74" s="98">
        <f>IF(VLOOKUP($D74,$C$5:$AJ$646,15,)=0,0,((VLOOKUP($D74,$C$5:$AJ$646,15,)/VLOOKUP($D74,$C$5:$AJ$646,4,))*$F74))</f>
        <v>0</v>
      </c>
      <c r="R74" s="98"/>
      <c r="S74" s="98">
        <f>IF(VLOOKUP($D74,$C$5:$AJ$646,17,)=0,0,((VLOOKUP($D74,$C$5:$AJ$646,17,)/VLOOKUP($D74,$C$5:$AJ$646,4,))*$F74))</f>
        <v>0</v>
      </c>
      <c r="T74" s="98">
        <f>IF(VLOOKUP($D74,$C$5:$AJ$646,18,)=0,0,((VLOOKUP($D74,$C$5:$AJ$646,18,)/VLOOKUP($D74,$C$5:$AJ$646,4,))*$F74))</f>
        <v>0</v>
      </c>
      <c r="U74" s="98">
        <f>IF(VLOOKUP($D74,$C$5:$AJ$646,19,)=0,0,((VLOOKUP($D74,$C$5:$AJ$646,19,)/VLOOKUP($D74,$C$5:$AJ$646,4,))*$F74))</f>
        <v>0</v>
      </c>
      <c r="V74" s="98">
        <f>IF(VLOOKUP($D74,$C$5:$AJ$646,20,)=0,0,((VLOOKUP($D74,$C$5:$AJ$646,20,)/VLOOKUP($D74,$C$5:$AJ$646,4,))*$F74))</f>
        <v>0</v>
      </c>
      <c r="W74" s="98">
        <f>IF(VLOOKUP($D74,$C$5:$AJ$646,21,)=0,0,((VLOOKUP($D74,$C$5:$AJ$646,21,)/VLOOKUP($D74,$C$5:$AJ$646,4,))*$F74))</f>
        <v>0</v>
      </c>
      <c r="X74" s="98">
        <f>IF(VLOOKUP($D74,$C$5:$AJ$646,22,)=0,0,((VLOOKUP($D74,$C$5:$AJ$646,22,)/VLOOKUP($D74,$C$5:$AJ$646,4,))*$F74))</f>
        <v>0</v>
      </c>
      <c r="Y74" s="98">
        <f>IF(VLOOKUP($D74,$C$5:$AJ$646,23,)=0,0,((VLOOKUP($D74,$C$5:$AJ$646,23,)/VLOOKUP($D74,$C$5:$AJ$646,4,))*$F74))</f>
        <v>0</v>
      </c>
      <c r="Z74" s="98">
        <f>IF(VLOOKUP($D74,$C$5:$AJ$646,24,)=0,0,((VLOOKUP($D74,$C$5:$AJ$646,24,)/VLOOKUP($D74,$C$5:$AJ$646,4,))*$F74))</f>
        <v>0</v>
      </c>
      <c r="AA74" s="98">
        <f>IF(VLOOKUP($D74,$C$5:$AJ$646,25,)=0,0,((VLOOKUP($D74,$C$5:$AJ$646,25,)/VLOOKUP($D74,$C$5:$AJ$646,4,))*$F74))</f>
        <v>0</v>
      </c>
      <c r="AB74" s="98">
        <f>IF(VLOOKUP($D74,$C$5:$AJ$646,26,)=0,0,((VLOOKUP($D74,$C$5:$AJ$646,26,)/VLOOKUP($D74,$C$5:$AJ$646,4,))*$F74))</f>
        <v>0</v>
      </c>
      <c r="AC74" s="98">
        <f>IF(VLOOKUP($D74,$C$5:$AJ$646,27,)=0,0,((VLOOKUP($D74,$C$5:$AJ$646,27,)/VLOOKUP($D74,$C$5:$AJ$646,4,))*$F74))</f>
        <v>0</v>
      </c>
      <c r="AD74" s="98">
        <f>IF(VLOOKUP($D74,$C$5:$AJ$646,28,)=0,0,((VLOOKUP($D74,$C$5:$AJ$646,28,)/VLOOKUP($D74,$C$5:$AJ$646,4,))*$F74))</f>
        <v>0</v>
      </c>
      <c r="AE74" s="98"/>
      <c r="AF74" s="98">
        <f>IF(VLOOKUP($D74,$C$5:$AJ$646,30,)=0,0,((VLOOKUP($D74,$C$5:$AJ$646,30,)/VLOOKUP($D74,$C$5:$AJ$646,4,))*$F74))</f>
        <v>0</v>
      </c>
      <c r="AG74" s="98"/>
      <c r="AH74" s="98">
        <f>IF(VLOOKUP($D74,$C$5:$AJ$646,32,)=0,0,((VLOOKUP($D74,$C$5:$AJ$646,32,)/VLOOKUP($D74,$C$5:$AJ$646,4,))*$F74))</f>
        <v>0</v>
      </c>
      <c r="AI74" s="98"/>
      <c r="AJ74" s="98">
        <f>IF(VLOOKUP($D74,$C$5:$AJ$646,34,)=0,0,((VLOOKUP($D74,$C$5:$AJ$646,34,)/VLOOKUP($D74,$C$5:$AJ$646,4,))*$F74))</f>
        <v>0</v>
      </c>
      <c r="AK74" s="98">
        <f>SUM(H74:AJ74)</f>
        <v>0</v>
      </c>
      <c r="AL74" s="95" t="str">
        <f>IF(ABS(AK74-F74)&lt;1,"ok","err")</f>
        <v>ok</v>
      </c>
    </row>
    <row r="75" spans="1:38" x14ac:dyDescent="0.25">
      <c r="F75" s="98"/>
      <c r="AK75" s="98"/>
      <c r="AL75" s="95"/>
    </row>
    <row r="76" spans="1:38" x14ac:dyDescent="0.25">
      <c r="A76" s="90" t="s">
        <v>207</v>
      </c>
      <c r="C76" s="94" t="s">
        <v>208</v>
      </c>
      <c r="F76" s="97">
        <f>SUM(F70:F74)</f>
        <v>299562999.97091067</v>
      </c>
      <c r="G76" s="97"/>
      <c r="H76" s="97">
        <f t="shared" ref="H76:M76" si="37">SUM(H70:H74)</f>
        <v>81736827.231803834</v>
      </c>
      <c r="I76" s="97">
        <f t="shared" si="37"/>
        <v>77051488.276072979</v>
      </c>
      <c r="J76" s="97">
        <f t="shared" si="37"/>
        <v>79132410.376684472</v>
      </c>
      <c r="K76" s="97">
        <f>SUM(K70:K74)</f>
        <v>0</v>
      </c>
      <c r="L76" s="97">
        <f t="shared" si="37"/>
        <v>0</v>
      </c>
      <c r="M76" s="97">
        <f t="shared" si="37"/>
        <v>0</v>
      </c>
      <c r="N76" s="97"/>
      <c r="O76" s="97">
        <f>SUM(O70:O74)</f>
        <v>12847987.313073853</v>
      </c>
      <c r="P76" s="97">
        <f>SUM(P70:P74)</f>
        <v>12111511.754878243</v>
      </c>
      <c r="Q76" s="97">
        <f>SUM(Q70:Q74)</f>
        <v>12438606.182856586</v>
      </c>
      <c r="R76" s="97"/>
      <c r="S76" s="97">
        <f t="shared" ref="S76:AD76" si="38">SUM(S70:S74)</f>
        <v>0</v>
      </c>
      <c r="T76" s="97">
        <f t="shared" si="38"/>
        <v>2633680.8175934278</v>
      </c>
      <c r="U76" s="97">
        <f t="shared" si="38"/>
        <v>0</v>
      </c>
      <c r="V76" s="97">
        <f t="shared" si="38"/>
        <v>4265603.8093953691</v>
      </c>
      <c r="W76" s="97">
        <f t="shared" si="38"/>
        <v>6105361.5537590319</v>
      </c>
      <c r="X76" s="97">
        <f t="shared" si="38"/>
        <v>752753.61342271231</v>
      </c>
      <c r="Y76" s="97">
        <f t="shared" si="38"/>
        <v>1077416.7447810059</v>
      </c>
      <c r="Z76" s="97">
        <f t="shared" si="38"/>
        <v>2649495.9150857073</v>
      </c>
      <c r="AA76" s="97">
        <f t="shared" si="38"/>
        <v>2266993.0718983472</v>
      </c>
      <c r="AB76" s="97">
        <f t="shared" si="38"/>
        <v>1519712.2980270986</v>
      </c>
      <c r="AC76" s="97">
        <f t="shared" si="38"/>
        <v>1204326.4215581212</v>
      </c>
      <c r="AD76" s="97">
        <f t="shared" si="38"/>
        <v>1768824.5900199115</v>
      </c>
      <c r="AE76" s="97"/>
      <c r="AF76" s="97">
        <f>SUM(AF70:AF74)</f>
        <v>0</v>
      </c>
      <c r="AG76" s="97"/>
      <c r="AH76" s="97">
        <f>SUM(AH70:AH74)</f>
        <v>0</v>
      </c>
      <c r="AI76" s="97"/>
      <c r="AJ76" s="97">
        <f>SUM(AJ70:AJ74)</f>
        <v>0</v>
      </c>
      <c r="AK76" s="98">
        <f>SUM(H76:AJ76)</f>
        <v>299562999.97091079</v>
      </c>
      <c r="AL76" s="95" t="str">
        <f>IF(ABS(AK76-F76)&lt;1,"ok","err")</f>
        <v>ok</v>
      </c>
    </row>
    <row r="77" spans="1:38" x14ac:dyDescent="0.25">
      <c r="A77" s="90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8"/>
      <c r="AL77" s="95"/>
    </row>
    <row r="78" spans="1:38" x14ac:dyDescent="0.25">
      <c r="A78" s="16" t="s">
        <v>564</v>
      </c>
      <c r="F78" s="97">
        <f>F65+F76</f>
        <v>5952611566.0292692</v>
      </c>
      <c r="G78" s="97"/>
      <c r="H78" s="97">
        <f t="shared" ref="H78:M78" si="39">H65+H76</f>
        <v>1355074593.6141078</v>
      </c>
      <c r="I78" s="97">
        <f t="shared" si="39"/>
        <v>1277398667.1510487</v>
      </c>
      <c r="J78" s="97">
        <f t="shared" si="39"/>
        <v>1311897249.5566494</v>
      </c>
      <c r="K78" s="97">
        <f>K65+K76</f>
        <v>0</v>
      </c>
      <c r="L78" s="97">
        <f t="shared" si="39"/>
        <v>0</v>
      </c>
      <c r="M78" s="97">
        <f t="shared" si="39"/>
        <v>0</v>
      </c>
      <c r="N78" s="97"/>
      <c r="O78" s="97">
        <f>O65+O76</f>
        <v>202943915.11070007</v>
      </c>
      <c r="P78" s="97">
        <f>P65+P76</f>
        <v>191310712.99728698</v>
      </c>
      <c r="Q78" s="97">
        <f>Q65+Q76</f>
        <v>196477422.94237474</v>
      </c>
      <c r="R78" s="97"/>
      <c r="S78" s="97">
        <f t="shared" ref="S78:AD78" si="40">S65+S76</f>
        <v>0</v>
      </c>
      <c r="T78" s="97">
        <f t="shared" si="40"/>
        <v>153986152.28493941</v>
      </c>
      <c r="U78" s="97">
        <f t="shared" si="40"/>
        <v>0</v>
      </c>
      <c r="V78" s="97">
        <f t="shared" si="40"/>
        <v>249401489.1223515</v>
      </c>
      <c r="W78" s="97">
        <f t="shared" si="40"/>
        <v>356968516.34087658</v>
      </c>
      <c r="X78" s="97">
        <f t="shared" si="40"/>
        <v>44012027.492179669</v>
      </c>
      <c r="Y78" s="97">
        <f t="shared" si="40"/>
        <v>62994444.060154691</v>
      </c>
      <c r="Z78" s="97">
        <f t="shared" si="40"/>
        <v>154910830.01907447</v>
      </c>
      <c r="AA78" s="97">
        <f t="shared" si="40"/>
        <v>132546638.93448736</v>
      </c>
      <c r="AB78" s="97">
        <f t="shared" si="40"/>
        <v>88854597.637663275</v>
      </c>
      <c r="AC78" s="97">
        <f t="shared" si="40"/>
        <v>70414603.968708247</v>
      </c>
      <c r="AD78" s="97">
        <f t="shared" si="40"/>
        <v>103419704.79666501</v>
      </c>
      <c r="AE78" s="97"/>
      <c r="AF78" s="97">
        <f>AF65+AF76</f>
        <v>0</v>
      </c>
      <c r="AG78" s="97"/>
      <c r="AH78" s="97">
        <f>AH65+AH76</f>
        <v>0</v>
      </c>
      <c r="AI78" s="97"/>
      <c r="AJ78" s="97">
        <f>AJ65+AJ76</f>
        <v>0</v>
      </c>
      <c r="AK78" s="98">
        <f>SUM(H78:AJ78)</f>
        <v>5952611566.0292692</v>
      </c>
      <c r="AL78" s="95" t="str">
        <f>IF(ABS(AK78-F78)&lt;1,"ok","err")</f>
        <v>ok</v>
      </c>
    </row>
    <row r="79" spans="1:38" x14ac:dyDescent="0.25">
      <c r="A79" s="16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8"/>
      <c r="AL79" s="95"/>
    </row>
    <row r="80" spans="1:38" x14ac:dyDescent="0.25">
      <c r="A80" s="16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8"/>
      <c r="AL80" s="95"/>
    </row>
    <row r="81" spans="1:38" x14ac:dyDescent="0.25">
      <c r="A81" s="16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8"/>
      <c r="AL81" s="95"/>
    </row>
    <row r="82" spans="1:38" x14ac:dyDescent="0.25">
      <c r="A82" s="16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8"/>
      <c r="AL82" s="95"/>
    </row>
    <row r="83" spans="1:38" x14ac:dyDescent="0.25">
      <c r="A83" s="16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8"/>
      <c r="AL83" s="95"/>
    </row>
    <row r="84" spans="1:38" x14ac:dyDescent="0.25">
      <c r="A84" s="16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8"/>
      <c r="AL84" s="95"/>
    </row>
    <row r="85" spans="1:38" x14ac:dyDescent="0.25">
      <c r="A85" s="16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8"/>
      <c r="AL85" s="95"/>
    </row>
    <row r="86" spans="1:38" x14ac:dyDescent="0.25">
      <c r="A86" s="16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8"/>
      <c r="AL86" s="95"/>
    </row>
    <row r="87" spans="1:38" x14ac:dyDescent="0.25">
      <c r="A87" s="16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8"/>
      <c r="AL87" s="95"/>
    </row>
    <row r="88" spans="1:38" x14ac:dyDescent="0.25">
      <c r="AL88" s="95"/>
    </row>
    <row r="89" spans="1:38" x14ac:dyDescent="0.25">
      <c r="A89" s="15" t="s">
        <v>210</v>
      </c>
      <c r="AL89" s="95"/>
    </row>
    <row r="90" spans="1:38" x14ac:dyDescent="0.25">
      <c r="AL90" s="95"/>
    </row>
    <row r="91" spans="1:38" x14ac:dyDescent="0.25">
      <c r="A91" s="15" t="s">
        <v>211</v>
      </c>
      <c r="AL91" s="95"/>
    </row>
    <row r="92" spans="1:38" x14ac:dyDescent="0.25">
      <c r="A92" s="94" t="s">
        <v>128</v>
      </c>
      <c r="F92" s="99">
        <f>F65</f>
        <v>5653048566.0583582</v>
      </c>
      <c r="G92" s="99"/>
      <c r="H92" s="99">
        <f t="shared" ref="H92:M92" si="41">H65</f>
        <v>1273337766.382304</v>
      </c>
      <c r="I92" s="99">
        <f t="shared" si="41"/>
        <v>1200347178.8749757</v>
      </c>
      <c r="J92" s="99">
        <f t="shared" si="41"/>
        <v>1232764839.179965</v>
      </c>
      <c r="K92" s="99">
        <f t="shared" si="41"/>
        <v>0</v>
      </c>
      <c r="L92" s="99">
        <f t="shared" si="41"/>
        <v>0</v>
      </c>
      <c r="M92" s="99">
        <f t="shared" si="41"/>
        <v>0</v>
      </c>
      <c r="N92" s="99"/>
      <c r="O92" s="99">
        <f>O65</f>
        <v>190095927.79762623</v>
      </c>
      <c r="P92" s="99">
        <f>P65</f>
        <v>179199201.24240872</v>
      </c>
      <c r="Q92" s="99">
        <f>Q65</f>
        <v>184038816.75951815</v>
      </c>
      <c r="R92" s="99"/>
      <c r="S92" s="99">
        <f t="shared" ref="S92:AD92" si="42">S65</f>
        <v>0</v>
      </c>
      <c r="T92" s="99">
        <f t="shared" si="42"/>
        <v>151352471.46734598</v>
      </c>
      <c r="U92" s="99">
        <f t="shared" si="42"/>
        <v>0</v>
      </c>
      <c r="V92" s="99">
        <f t="shared" si="42"/>
        <v>245135885.31295612</v>
      </c>
      <c r="W92" s="99">
        <f t="shared" si="42"/>
        <v>350863154.78711754</v>
      </c>
      <c r="X92" s="99">
        <f t="shared" si="42"/>
        <v>43259273.878756955</v>
      </c>
      <c r="Y92" s="99">
        <f t="shared" si="42"/>
        <v>61917027.315373689</v>
      </c>
      <c r="Z92" s="99">
        <f t="shared" si="42"/>
        <v>152261334.10398877</v>
      </c>
      <c r="AA92" s="99">
        <f t="shared" si="42"/>
        <v>130279645.86258902</v>
      </c>
      <c r="AB92" s="99">
        <f t="shared" si="42"/>
        <v>87334885.339636177</v>
      </c>
      <c r="AC92" s="99">
        <f t="shared" si="42"/>
        <v>69210277.54715012</v>
      </c>
      <c r="AD92" s="99">
        <f t="shared" si="42"/>
        <v>101650880.2066451</v>
      </c>
      <c r="AE92" s="99"/>
      <c r="AF92" s="99">
        <f>AF65</f>
        <v>0</v>
      </c>
      <c r="AG92" s="99"/>
      <c r="AH92" s="99">
        <f>AH65</f>
        <v>0</v>
      </c>
      <c r="AI92" s="99"/>
      <c r="AJ92" s="99">
        <f>AJ65</f>
        <v>0</v>
      </c>
      <c r="AK92" s="98">
        <f>SUM(H92:AJ92)</f>
        <v>5653048566.0583553</v>
      </c>
      <c r="AL92" s="95" t="str">
        <f>IF(ABS(AK92-F92)&lt;1,"ok","err")</f>
        <v>ok</v>
      </c>
    </row>
    <row r="93" spans="1:38" x14ac:dyDescent="0.25">
      <c r="A93" s="94" t="s">
        <v>206</v>
      </c>
      <c r="F93" s="98">
        <f>F76</f>
        <v>299562999.97091067</v>
      </c>
      <c r="G93" s="103"/>
      <c r="H93" s="103">
        <f t="shared" ref="H93:AJ93" si="43">H76</f>
        <v>81736827.231803834</v>
      </c>
      <c r="I93" s="103">
        <f t="shared" si="43"/>
        <v>77051488.276072979</v>
      </c>
      <c r="J93" s="103">
        <f t="shared" si="43"/>
        <v>79132410.376684472</v>
      </c>
      <c r="K93" s="103">
        <f>K76</f>
        <v>0</v>
      </c>
      <c r="L93" s="103">
        <f t="shared" si="43"/>
        <v>0</v>
      </c>
      <c r="M93" s="103">
        <f t="shared" si="43"/>
        <v>0</v>
      </c>
      <c r="N93" s="103"/>
      <c r="O93" s="103">
        <f>O76</f>
        <v>12847987.313073853</v>
      </c>
      <c r="P93" s="103">
        <f>P76</f>
        <v>12111511.754878243</v>
      </c>
      <c r="Q93" s="103">
        <f>Q76</f>
        <v>12438606.182856586</v>
      </c>
      <c r="R93" s="103"/>
      <c r="S93" s="103">
        <f t="shared" si="43"/>
        <v>0</v>
      </c>
      <c r="T93" s="103">
        <f>T76</f>
        <v>2633680.8175934278</v>
      </c>
      <c r="U93" s="103">
        <f t="shared" si="43"/>
        <v>0</v>
      </c>
      <c r="V93" s="103">
        <f t="shared" si="43"/>
        <v>4265603.8093953691</v>
      </c>
      <c r="W93" s="103">
        <f>W76</f>
        <v>6105361.5537590319</v>
      </c>
      <c r="X93" s="103">
        <f>X76</f>
        <v>752753.61342271231</v>
      </c>
      <c r="Y93" s="103">
        <f>Y76</f>
        <v>1077416.7447810059</v>
      </c>
      <c r="Z93" s="103">
        <f t="shared" si="43"/>
        <v>2649495.9150857073</v>
      </c>
      <c r="AA93" s="103">
        <f t="shared" si="43"/>
        <v>2266993.0718983472</v>
      </c>
      <c r="AB93" s="103">
        <f>AB76</f>
        <v>1519712.2980270986</v>
      </c>
      <c r="AC93" s="103">
        <f>AC76</f>
        <v>1204326.4215581212</v>
      </c>
      <c r="AD93" s="103">
        <f t="shared" si="43"/>
        <v>1768824.5900199115</v>
      </c>
      <c r="AE93" s="103"/>
      <c r="AF93" s="103">
        <f t="shared" si="43"/>
        <v>0</v>
      </c>
      <c r="AG93" s="103"/>
      <c r="AH93" s="103">
        <f t="shared" si="43"/>
        <v>0</v>
      </c>
      <c r="AI93" s="103"/>
      <c r="AJ93" s="98">
        <f t="shared" si="43"/>
        <v>0</v>
      </c>
      <c r="AK93" s="98">
        <f>SUM(H93:AJ93)</f>
        <v>299562999.97091079</v>
      </c>
      <c r="AL93" s="95" t="str">
        <f>IF(ABS(AK93-F93)&lt;1,"ok","err")</f>
        <v>ok</v>
      </c>
    </row>
    <row r="94" spans="1:38" x14ac:dyDescent="0.25">
      <c r="Y94" s="94"/>
      <c r="AK94" s="98"/>
      <c r="AL94" s="95"/>
    </row>
    <row r="95" spans="1:38" x14ac:dyDescent="0.25">
      <c r="A95" s="90" t="s">
        <v>212</v>
      </c>
      <c r="C95" s="94" t="s">
        <v>213</v>
      </c>
      <c r="F95" s="99">
        <f>F92+F93</f>
        <v>5952611566.0292692</v>
      </c>
      <c r="G95" s="99"/>
      <c r="H95" s="99">
        <f t="shared" ref="H95:AJ95" si="44">H92+H93</f>
        <v>1355074593.6141078</v>
      </c>
      <c r="I95" s="99">
        <f t="shared" si="44"/>
        <v>1277398667.1510487</v>
      </c>
      <c r="J95" s="99">
        <f t="shared" si="44"/>
        <v>1311897249.5566494</v>
      </c>
      <c r="K95" s="99">
        <f>K92+K93</f>
        <v>0</v>
      </c>
      <c r="L95" s="99">
        <f t="shared" si="44"/>
        <v>0</v>
      </c>
      <c r="M95" s="99">
        <f t="shared" si="44"/>
        <v>0</v>
      </c>
      <c r="N95" s="99"/>
      <c r="O95" s="99">
        <f t="shared" si="44"/>
        <v>202943915.11070007</v>
      </c>
      <c r="P95" s="99">
        <f>P92+P93</f>
        <v>191310712.99728698</v>
      </c>
      <c r="Q95" s="99">
        <f>Q92+Q93</f>
        <v>196477422.94237474</v>
      </c>
      <c r="R95" s="99"/>
      <c r="S95" s="99">
        <f t="shared" si="44"/>
        <v>0</v>
      </c>
      <c r="T95" s="99">
        <f>T92+T93</f>
        <v>153986152.28493941</v>
      </c>
      <c r="U95" s="99">
        <f t="shared" si="44"/>
        <v>0</v>
      </c>
      <c r="V95" s="99">
        <f t="shared" si="44"/>
        <v>249401489.1223515</v>
      </c>
      <c r="W95" s="99">
        <f>W92+W93</f>
        <v>356968516.34087658</v>
      </c>
      <c r="X95" s="99">
        <f>X92+X93</f>
        <v>44012027.492179669</v>
      </c>
      <c r="Y95" s="99">
        <f>Y92+Y93</f>
        <v>62994444.060154691</v>
      </c>
      <c r="Z95" s="99">
        <f t="shared" si="44"/>
        <v>154910830.01907447</v>
      </c>
      <c r="AA95" s="99">
        <f t="shared" si="44"/>
        <v>132546638.93448736</v>
      </c>
      <c r="AB95" s="99">
        <f>AB92+AB93</f>
        <v>88854597.637663275</v>
      </c>
      <c r="AC95" s="99">
        <f>AC92+AC93</f>
        <v>70414603.968708247</v>
      </c>
      <c r="AD95" s="99">
        <f t="shared" si="44"/>
        <v>103419704.79666501</v>
      </c>
      <c r="AE95" s="99"/>
      <c r="AF95" s="99">
        <f t="shared" si="44"/>
        <v>0</v>
      </c>
      <c r="AG95" s="99"/>
      <c r="AH95" s="99">
        <f t="shared" si="44"/>
        <v>0</v>
      </c>
      <c r="AI95" s="99"/>
      <c r="AJ95" s="99">
        <f t="shared" si="44"/>
        <v>0</v>
      </c>
      <c r="AK95" s="98">
        <f>SUM(H95:AJ95)</f>
        <v>5952611566.0292692</v>
      </c>
      <c r="AL95" s="95" t="str">
        <f>IF(ABS(AK95-F95)&lt;1,"ok","err")</f>
        <v>ok</v>
      </c>
    </row>
    <row r="96" spans="1:38" x14ac:dyDescent="0.25">
      <c r="Y96" s="94"/>
      <c r="AL96" s="95"/>
    </row>
    <row r="97" spans="1:39" x14ac:dyDescent="0.25">
      <c r="A97" s="15" t="s">
        <v>214</v>
      </c>
      <c r="Y97" s="94"/>
      <c r="AL97" s="95"/>
    </row>
    <row r="98" spans="1:39" x14ac:dyDescent="0.25">
      <c r="A98" s="104" t="s">
        <v>2027</v>
      </c>
      <c r="C98" s="94" t="s">
        <v>587</v>
      </c>
      <c r="D98" s="94" t="s">
        <v>882</v>
      </c>
      <c r="F98" s="97">
        <f>'Jurisdictional Study'!F764</f>
        <v>1079524090.5138526</v>
      </c>
      <c r="H98" s="98">
        <f t="shared" ref="H98:H105" si="45">IF(VLOOKUP($D98,$C$5:$AJ$646,6,)=0,0,((VLOOKUP($D98,$C$5:$AJ$646,6,)/VLOOKUP($D98,$C$5:$AJ$646,4,))*$F98))</f>
        <v>370866698.3544482</v>
      </c>
      <c r="I98" s="98">
        <f t="shared" ref="I98:I105" si="46">IF(VLOOKUP($D98,$C$5:$AJ$646,7,)=0,0,((VLOOKUP($D98,$C$5:$AJ$646,7,)/VLOOKUP($D98,$C$5:$AJ$646,4,))*$F98))</f>
        <v>349607784.25131708</v>
      </c>
      <c r="J98" s="98">
        <f t="shared" ref="J98:J105" si="47">IF(VLOOKUP($D98,$C$5:$AJ$646,8,)=0,0,((VLOOKUP($D98,$C$5:$AJ$646,8,)/VLOOKUP($D98,$C$5:$AJ$646,4,))*$F98))</f>
        <v>359049607.90808731</v>
      </c>
      <c r="K98" s="98">
        <f t="shared" ref="K98:K105" si="48">IF(VLOOKUP($D98,$C$5:$AJ$646,9,)=0,0,((VLOOKUP($D98,$C$5:$AJ$646,9,)/VLOOKUP($D98,$C$5:$AJ$646,4,))*$F98))</f>
        <v>0</v>
      </c>
      <c r="L98" s="98">
        <f t="shared" ref="L98:L105" si="49">IF(VLOOKUP($D98,$C$5:$AJ$646,10,)=0,0,((VLOOKUP($D98,$C$5:$AJ$646,10,)/VLOOKUP($D98,$C$5:$AJ$646,4,))*$F98))</f>
        <v>0</v>
      </c>
      <c r="M98" s="98">
        <f t="shared" ref="M98:M105" si="50">IF(VLOOKUP($D98,$C$5:$AJ$646,11,)=0,0,((VLOOKUP($D98,$C$5:$AJ$646,11,)/VLOOKUP($D98,$C$5:$AJ$646,4,))*$F98))</f>
        <v>0</v>
      </c>
      <c r="N98" s="98"/>
      <c r="O98" s="98">
        <f t="shared" ref="O98:O105" si="51">IF(VLOOKUP($D98,$C$5:$AJ$646,13,)=0,0,((VLOOKUP($D98,$C$5:$AJ$646,13,)/VLOOKUP($D98,$C$5:$AJ$646,4,))*$F98))</f>
        <v>0</v>
      </c>
      <c r="P98" s="98">
        <f t="shared" ref="P98:P105" si="52">IF(VLOOKUP($D98,$C$5:$AJ$646,14,)=0,0,((VLOOKUP($D98,$C$5:$AJ$646,14,)/VLOOKUP($D98,$C$5:$AJ$646,4,))*$F98))</f>
        <v>0</v>
      </c>
      <c r="Q98" s="98">
        <f t="shared" ref="Q98:Q105" si="53">IF(VLOOKUP($D98,$C$5:$AJ$646,15,)=0,0,((VLOOKUP($D98,$C$5:$AJ$646,15,)/VLOOKUP($D98,$C$5:$AJ$646,4,))*$F98))</f>
        <v>0</v>
      </c>
      <c r="R98" s="98"/>
      <c r="S98" s="98">
        <f t="shared" ref="S98:S105" si="54">IF(VLOOKUP($D98,$C$5:$AJ$646,17,)=0,0,((VLOOKUP($D98,$C$5:$AJ$646,17,)/VLOOKUP($D98,$C$5:$AJ$646,4,))*$F98))</f>
        <v>0</v>
      </c>
      <c r="T98" s="98">
        <f t="shared" ref="T98:T105" si="55">IF(VLOOKUP($D98,$C$5:$AJ$646,18,)=0,0,((VLOOKUP($D98,$C$5:$AJ$646,18,)/VLOOKUP($D98,$C$5:$AJ$646,4,))*$F98))</f>
        <v>0</v>
      </c>
      <c r="U98" s="98">
        <f t="shared" ref="U98:U105" si="56">IF(VLOOKUP($D98,$C$5:$AJ$646,19,)=0,0,((VLOOKUP($D98,$C$5:$AJ$646,19,)/VLOOKUP($D98,$C$5:$AJ$646,4,))*$F98))</f>
        <v>0</v>
      </c>
      <c r="V98" s="98">
        <f t="shared" ref="V98:V105" si="57">IF(VLOOKUP($D98,$C$5:$AJ$646,20,)=0,0,((VLOOKUP($D98,$C$5:$AJ$646,20,)/VLOOKUP($D98,$C$5:$AJ$646,4,))*$F98))</f>
        <v>0</v>
      </c>
      <c r="W98" s="98">
        <f t="shared" ref="W98:W105" si="58">IF(VLOOKUP($D98,$C$5:$AJ$646,21,)=0,0,((VLOOKUP($D98,$C$5:$AJ$646,21,)/VLOOKUP($D98,$C$5:$AJ$646,4,))*$F98))</f>
        <v>0</v>
      </c>
      <c r="X98" s="98">
        <f t="shared" ref="X98:X105" si="59">IF(VLOOKUP($D98,$C$5:$AJ$646,22,)=0,0,((VLOOKUP($D98,$C$5:$AJ$646,22,)/VLOOKUP($D98,$C$5:$AJ$646,4,))*$F98))</f>
        <v>0</v>
      </c>
      <c r="Y98" s="98">
        <f t="shared" ref="Y98:Y105" si="60">IF(VLOOKUP($D98,$C$5:$AJ$646,23,)=0,0,((VLOOKUP($D98,$C$5:$AJ$646,23,)/VLOOKUP($D98,$C$5:$AJ$646,4,))*$F98))</f>
        <v>0</v>
      </c>
      <c r="Z98" s="98">
        <f t="shared" ref="Z98:Z105" si="61">IF(VLOOKUP($D98,$C$5:$AJ$646,24,)=0,0,((VLOOKUP($D98,$C$5:$AJ$646,24,)/VLOOKUP($D98,$C$5:$AJ$646,4,))*$F98))</f>
        <v>0</v>
      </c>
      <c r="AA98" s="98">
        <f t="shared" ref="AA98:AA105" si="62">IF(VLOOKUP($D98,$C$5:$AJ$646,25,)=0,0,((VLOOKUP($D98,$C$5:$AJ$646,25,)/VLOOKUP($D98,$C$5:$AJ$646,4,))*$F98))</f>
        <v>0</v>
      </c>
      <c r="AB98" s="98">
        <f t="shared" ref="AB98:AB105" si="63">IF(VLOOKUP($D98,$C$5:$AJ$646,26,)=0,0,((VLOOKUP($D98,$C$5:$AJ$646,26,)/VLOOKUP($D98,$C$5:$AJ$646,4,))*$F98))</f>
        <v>0</v>
      </c>
      <c r="AC98" s="98">
        <f t="shared" ref="AC98:AC105" si="64">IF(VLOOKUP($D98,$C$5:$AJ$646,27,)=0,0,((VLOOKUP($D98,$C$5:$AJ$646,27,)/VLOOKUP($D98,$C$5:$AJ$646,4,))*$F98))</f>
        <v>0</v>
      </c>
      <c r="AD98" s="98">
        <f t="shared" ref="AD98:AD105" si="65">IF(VLOOKUP($D98,$C$5:$AJ$646,28,)=0,0,((VLOOKUP($D98,$C$5:$AJ$646,28,)/VLOOKUP($D98,$C$5:$AJ$646,4,))*$F98))</f>
        <v>0</v>
      </c>
      <c r="AE98" s="98"/>
      <c r="AF98" s="98">
        <f t="shared" ref="AF98:AF105" si="66">IF(VLOOKUP($D98,$C$5:$AJ$646,30,)=0,0,((VLOOKUP($D98,$C$5:$AJ$646,30,)/VLOOKUP($D98,$C$5:$AJ$646,4,))*$F98))</f>
        <v>0</v>
      </c>
      <c r="AG98" s="98"/>
      <c r="AH98" s="98">
        <f t="shared" ref="AH98:AH105" si="67">IF(VLOOKUP($D98,$C$5:$AJ$646,32,)=0,0,((VLOOKUP($D98,$C$5:$AJ$646,32,)/VLOOKUP($D98,$C$5:$AJ$646,4,))*$F98))</f>
        <v>0</v>
      </c>
      <c r="AI98" s="98"/>
      <c r="AJ98" s="98">
        <f t="shared" ref="AJ98:AJ105" si="68">IF(VLOOKUP($D98,$C$5:$AJ$646,34,)=0,0,((VLOOKUP($D98,$C$5:$AJ$646,34,)/VLOOKUP($D98,$C$5:$AJ$646,4,))*$F98))</f>
        <v>0</v>
      </c>
      <c r="AK98" s="98">
        <f t="shared" ref="AK98:AK105" si="69">SUM(H98:AJ98)</f>
        <v>1079524090.5138526</v>
      </c>
      <c r="AL98" s="95" t="str">
        <f t="shared" ref="AL98:AL105" si="70">IF(ABS(AK98-F98)&lt;1,"ok","err")</f>
        <v>ok</v>
      </c>
    </row>
    <row r="99" spans="1:39" x14ac:dyDescent="0.25">
      <c r="A99" s="104" t="s">
        <v>2026</v>
      </c>
      <c r="C99" s="94" t="s">
        <v>588</v>
      </c>
      <c r="D99" s="94" t="s">
        <v>882</v>
      </c>
      <c r="F99" s="98">
        <f>'Jurisdictional Study'!F770</f>
        <v>6757629.7210211167</v>
      </c>
      <c r="H99" s="98">
        <f t="shared" si="45"/>
        <v>2321559.8849156322</v>
      </c>
      <c r="I99" s="98">
        <f t="shared" si="46"/>
        <v>2188482.8456514399</v>
      </c>
      <c r="J99" s="98">
        <f t="shared" si="47"/>
        <v>2247586.9904540447</v>
      </c>
      <c r="K99" s="98">
        <f t="shared" si="48"/>
        <v>0</v>
      </c>
      <c r="L99" s="98">
        <f t="shared" si="49"/>
        <v>0</v>
      </c>
      <c r="M99" s="98">
        <f t="shared" si="50"/>
        <v>0</v>
      </c>
      <c r="N99" s="98"/>
      <c r="O99" s="98">
        <f t="shared" si="51"/>
        <v>0</v>
      </c>
      <c r="P99" s="98">
        <f t="shared" si="52"/>
        <v>0</v>
      </c>
      <c r="Q99" s="98">
        <f t="shared" si="53"/>
        <v>0</v>
      </c>
      <c r="R99" s="98"/>
      <c r="S99" s="98">
        <f t="shared" si="54"/>
        <v>0</v>
      </c>
      <c r="T99" s="98">
        <f t="shared" si="55"/>
        <v>0</v>
      </c>
      <c r="U99" s="98">
        <f t="shared" si="56"/>
        <v>0</v>
      </c>
      <c r="V99" s="98">
        <f t="shared" si="57"/>
        <v>0</v>
      </c>
      <c r="W99" s="98">
        <f t="shared" si="58"/>
        <v>0</v>
      </c>
      <c r="X99" s="98">
        <f t="shared" si="59"/>
        <v>0</v>
      </c>
      <c r="Y99" s="98">
        <f t="shared" si="60"/>
        <v>0</v>
      </c>
      <c r="Z99" s="98">
        <f t="shared" si="61"/>
        <v>0</v>
      </c>
      <c r="AA99" s="98">
        <f t="shared" si="62"/>
        <v>0</v>
      </c>
      <c r="AB99" s="98">
        <f t="shared" si="63"/>
        <v>0</v>
      </c>
      <c r="AC99" s="98">
        <f t="shared" si="64"/>
        <v>0</v>
      </c>
      <c r="AD99" s="98">
        <f t="shared" si="65"/>
        <v>0</v>
      </c>
      <c r="AE99" s="98"/>
      <c r="AF99" s="98">
        <f t="shared" si="66"/>
        <v>0</v>
      </c>
      <c r="AG99" s="98"/>
      <c r="AH99" s="98">
        <f t="shared" si="67"/>
        <v>0</v>
      </c>
      <c r="AI99" s="98"/>
      <c r="AJ99" s="98">
        <f t="shared" si="68"/>
        <v>0</v>
      </c>
      <c r="AK99" s="98">
        <f t="shared" si="69"/>
        <v>6757629.7210211158</v>
      </c>
      <c r="AL99" s="95" t="str">
        <f t="shared" si="70"/>
        <v>ok</v>
      </c>
    </row>
    <row r="100" spans="1:39" x14ac:dyDescent="0.25">
      <c r="A100" s="105" t="s">
        <v>2025</v>
      </c>
      <c r="D100" s="94" t="s">
        <v>882</v>
      </c>
      <c r="F100" s="98">
        <f>'Jurisdictional Study'!F776</f>
        <v>154788756.57059464</v>
      </c>
      <c r="H100" s="98">
        <f t="shared" si="45"/>
        <v>53177132.030839279</v>
      </c>
      <c r="I100" s="98">
        <f t="shared" si="46"/>
        <v>50128899.1021064</v>
      </c>
      <c r="J100" s="98">
        <f t="shared" si="47"/>
        <v>51482725.437648967</v>
      </c>
      <c r="K100" s="98">
        <f t="shared" si="48"/>
        <v>0</v>
      </c>
      <c r="L100" s="98">
        <f t="shared" si="49"/>
        <v>0</v>
      </c>
      <c r="M100" s="98">
        <f t="shared" si="50"/>
        <v>0</v>
      </c>
      <c r="N100" s="98"/>
      <c r="O100" s="98">
        <f t="shared" si="51"/>
        <v>0</v>
      </c>
      <c r="P100" s="98">
        <f t="shared" si="52"/>
        <v>0</v>
      </c>
      <c r="Q100" s="98">
        <f t="shared" si="53"/>
        <v>0</v>
      </c>
      <c r="R100" s="98"/>
      <c r="S100" s="98">
        <f t="shared" si="54"/>
        <v>0</v>
      </c>
      <c r="T100" s="98">
        <f t="shared" si="55"/>
        <v>0</v>
      </c>
      <c r="U100" s="98">
        <f t="shared" si="56"/>
        <v>0</v>
      </c>
      <c r="V100" s="98">
        <f t="shared" si="57"/>
        <v>0</v>
      </c>
      <c r="W100" s="98">
        <f t="shared" si="58"/>
        <v>0</v>
      </c>
      <c r="X100" s="98">
        <f t="shared" si="59"/>
        <v>0</v>
      </c>
      <c r="Y100" s="98">
        <f t="shared" si="60"/>
        <v>0</v>
      </c>
      <c r="Z100" s="98">
        <f t="shared" si="61"/>
        <v>0</v>
      </c>
      <c r="AA100" s="98">
        <f t="shared" si="62"/>
        <v>0</v>
      </c>
      <c r="AB100" s="98">
        <f t="shared" si="63"/>
        <v>0</v>
      </c>
      <c r="AC100" s="98">
        <f t="shared" si="64"/>
        <v>0</v>
      </c>
      <c r="AD100" s="98">
        <f t="shared" si="65"/>
        <v>0</v>
      </c>
      <c r="AE100" s="98"/>
      <c r="AF100" s="98">
        <f t="shared" si="66"/>
        <v>0</v>
      </c>
      <c r="AG100" s="98"/>
      <c r="AH100" s="98">
        <f t="shared" si="67"/>
        <v>0</v>
      </c>
      <c r="AI100" s="98"/>
      <c r="AJ100" s="98">
        <f t="shared" si="68"/>
        <v>0</v>
      </c>
      <c r="AK100" s="98">
        <f>SUM(H100:AJ100)</f>
        <v>154788756.57059467</v>
      </c>
      <c r="AL100" s="95" t="str">
        <f t="shared" si="70"/>
        <v>ok</v>
      </c>
    </row>
    <row r="101" spans="1:39" x14ac:dyDescent="0.25">
      <c r="A101" s="94" t="s">
        <v>2028</v>
      </c>
      <c r="C101" s="94" t="s">
        <v>589</v>
      </c>
      <c r="D101" s="94" t="s">
        <v>584</v>
      </c>
      <c r="F101" s="98">
        <f>'Jurisdictional Study'!F781</f>
        <v>254981612.51285821</v>
      </c>
      <c r="H101" s="98">
        <f t="shared" si="45"/>
        <v>0</v>
      </c>
      <c r="I101" s="98">
        <f t="shared" si="46"/>
        <v>0</v>
      </c>
      <c r="J101" s="98">
        <f t="shared" si="47"/>
        <v>0</v>
      </c>
      <c r="K101" s="98">
        <f t="shared" si="48"/>
        <v>0</v>
      </c>
      <c r="L101" s="98">
        <f t="shared" si="49"/>
        <v>0</v>
      </c>
      <c r="M101" s="98">
        <f t="shared" si="50"/>
        <v>0</v>
      </c>
      <c r="N101" s="98"/>
      <c r="O101" s="98">
        <f t="shared" si="51"/>
        <v>87598034.730956748</v>
      </c>
      <c r="P101" s="98">
        <f t="shared" si="52"/>
        <v>82576718.165702075</v>
      </c>
      <c r="Q101" s="98">
        <f t="shared" si="53"/>
        <v>84806859.616199374</v>
      </c>
      <c r="R101" s="98"/>
      <c r="S101" s="98">
        <f t="shared" si="54"/>
        <v>0</v>
      </c>
      <c r="T101" s="98">
        <f t="shared" si="55"/>
        <v>0</v>
      </c>
      <c r="U101" s="98">
        <f t="shared" si="56"/>
        <v>0</v>
      </c>
      <c r="V101" s="98">
        <f t="shared" si="57"/>
        <v>0</v>
      </c>
      <c r="W101" s="98">
        <f t="shared" si="58"/>
        <v>0</v>
      </c>
      <c r="X101" s="98">
        <f t="shared" si="59"/>
        <v>0</v>
      </c>
      <c r="Y101" s="98">
        <f t="shared" si="60"/>
        <v>0</v>
      </c>
      <c r="Z101" s="98">
        <f t="shared" si="61"/>
        <v>0</v>
      </c>
      <c r="AA101" s="98">
        <f t="shared" si="62"/>
        <v>0</v>
      </c>
      <c r="AB101" s="98">
        <f t="shared" si="63"/>
        <v>0</v>
      </c>
      <c r="AC101" s="98">
        <f t="shared" si="64"/>
        <v>0</v>
      </c>
      <c r="AD101" s="98">
        <f t="shared" si="65"/>
        <v>0</v>
      </c>
      <c r="AE101" s="98"/>
      <c r="AF101" s="98">
        <f t="shared" si="66"/>
        <v>0</v>
      </c>
      <c r="AG101" s="98"/>
      <c r="AH101" s="98">
        <f t="shared" si="67"/>
        <v>0</v>
      </c>
      <c r="AI101" s="98"/>
      <c r="AJ101" s="98">
        <f t="shared" si="68"/>
        <v>0</v>
      </c>
      <c r="AK101" s="98">
        <f t="shared" si="69"/>
        <v>254981612.51285821</v>
      </c>
      <c r="AL101" s="95" t="str">
        <f t="shared" si="70"/>
        <v>ok</v>
      </c>
    </row>
    <row r="102" spans="1:39" x14ac:dyDescent="0.25">
      <c r="A102" s="94" t="s">
        <v>2029</v>
      </c>
      <c r="C102" s="94" t="s">
        <v>1706</v>
      </c>
      <c r="D102" s="94" t="s">
        <v>584</v>
      </c>
      <c r="F102" s="98">
        <f>'Jurisdictional Study'!F782</f>
        <v>3872986.8546178187</v>
      </c>
      <c r="H102" s="98">
        <f t="shared" si="45"/>
        <v>0</v>
      </c>
      <c r="I102" s="98">
        <f t="shared" si="46"/>
        <v>0</v>
      </c>
      <c r="J102" s="98">
        <f t="shared" si="47"/>
        <v>0</v>
      </c>
      <c r="K102" s="98">
        <f t="shared" si="48"/>
        <v>0</v>
      </c>
      <c r="L102" s="98">
        <f t="shared" si="49"/>
        <v>0</v>
      </c>
      <c r="M102" s="98">
        <f t="shared" si="50"/>
        <v>0</v>
      </c>
      <c r="N102" s="98"/>
      <c r="O102" s="98">
        <f t="shared" si="51"/>
        <v>1330550.9901669561</v>
      </c>
      <c r="P102" s="98">
        <f t="shared" si="52"/>
        <v>1254280.8118648822</v>
      </c>
      <c r="Q102" s="98">
        <f t="shared" si="53"/>
        <v>1288155.0525859802</v>
      </c>
      <c r="R102" s="98"/>
      <c r="S102" s="98">
        <f t="shared" si="54"/>
        <v>0</v>
      </c>
      <c r="T102" s="98">
        <f t="shared" si="55"/>
        <v>0</v>
      </c>
      <c r="U102" s="98">
        <f t="shared" si="56"/>
        <v>0</v>
      </c>
      <c r="V102" s="98">
        <f t="shared" si="57"/>
        <v>0</v>
      </c>
      <c r="W102" s="98">
        <f t="shared" si="58"/>
        <v>0</v>
      </c>
      <c r="X102" s="98">
        <f t="shared" si="59"/>
        <v>0</v>
      </c>
      <c r="Y102" s="98">
        <f t="shared" si="60"/>
        <v>0</v>
      </c>
      <c r="Z102" s="98">
        <f t="shared" si="61"/>
        <v>0</v>
      </c>
      <c r="AA102" s="98">
        <f t="shared" si="62"/>
        <v>0</v>
      </c>
      <c r="AB102" s="98">
        <f t="shared" si="63"/>
        <v>0</v>
      </c>
      <c r="AC102" s="98">
        <f t="shared" si="64"/>
        <v>0</v>
      </c>
      <c r="AD102" s="98">
        <f t="shared" si="65"/>
        <v>0</v>
      </c>
      <c r="AE102" s="98"/>
      <c r="AF102" s="98">
        <f t="shared" si="66"/>
        <v>0</v>
      </c>
      <c r="AG102" s="98"/>
      <c r="AH102" s="98">
        <f t="shared" si="67"/>
        <v>0</v>
      </c>
      <c r="AI102" s="98"/>
      <c r="AJ102" s="98">
        <f t="shared" si="68"/>
        <v>0</v>
      </c>
      <c r="AK102" s="98">
        <f t="shared" si="69"/>
        <v>3872986.8546178183</v>
      </c>
      <c r="AL102" s="95" t="str">
        <f t="shared" si="70"/>
        <v>ok</v>
      </c>
    </row>
    <row r="103" spans="1:39" x14ac:dyDescent="0.25">
      <c r="A103" s="94" t="s">
        <v>2031</v>
      </c>
      <c r="C103" s="94" t="s">
        <v>1707</v>
      </c>
      <c r="D103" s="94" t="s">
        <v>129</v>
      </c>
      <c r="F103" s="98">
        <f>'Jurisdictional Study'!F789</f>
        <v>525543760.41339171</v>
      </c>
      <c r="H103" s="98">
        <f t="shared" si="45"/>
        <v>0</v>
      </c>
      <c r="I103" s="98">
        <f t="shared" si="46"/>
        <v>0</v>
      </c>
      <c r="J103" s="98">
        <f t="shared" si="47"/>
        <v>0</v>
      </c>
      <c r="K103" s="98">
        <f t="shared" si="48"/>
        <v>0</v>
      </c>
      <c r="L103" s="98">
        <f t="shared" si="49"/>
        <v>0</v>
      </c>
      <c r="M103" s="98">
        <f t="shared" si="50"/>
        <v>0</v>
      </c>
      <c r="N103" s="98"/>
      <c r="O103" s="98">
        <f t="shared" si="51"/>
        <v>0</v>
      </c>
      <c r="P103" s="98">
        <f t="shared" si="52"/>
        <v>0</v>
      </c>
      <c r="Q103" s="98">
        <f t="shared" si="53"/>
        <v>0</v>
      </c>
      <c r="R103" s="98"/>
      <c r="S103" s="98">
        <f t="shared" si="54"/>
        <v>0</v>
      </c>
      <c r="T103" s="98">
        <f t="shared" si="55"/>
        <v>57090615.479365215</v>
      </c>
      <c r="U103" s="98">
        <f t="shared" si="56"/>
        <v>0</v>
      </c>
      <c r="V103" s="98">
        <f t="shared" si="57"/>
        <v>92466006.223196268</v>
      </c>
      <c r="W103" s="98">
        <f t="shared" si="58"/>
        <v>132346655.86646844</v>
      </c>
      <c r="X103" s="98">
        <f t="shared" si="59"/>
        <v>16317530.509975811</v>
      </c>
      <c r="Y103" s="98">
        <f t="shared" si="60"/>
        <v>23355292.211729731</v>
      </c>
      <c r="Z103" s="98">
        <f t="shared" si="61"/>
        <v>57433441.247646973</v>
      </c>
      <c r="AA103" s="98">
        <f t="shared" si="62"/>
        <v>49141881.164019331</v>
      </c>
      <c r="AB103" s="98">
        <f t="shared" si="63"/>
        <v>32942986.054478403</v>
      </c>
      <c r="AC103" s="98">
        <f t="shared" si="64"/>
        <v>26106328.521480195</v>
      </c>
      <c r="AD103" s="98">
        <f t="shared" si="65"/>
        <v>38343023.135031171</v>
      </c>
      <c r="AE103" s="98"/>
      <c r="AF103" s="98">
        <f t="shared" si="66"/>
        <v>0</v>
      </c>
      <c r="AG103" s="98"/>
      <c r="AH103" s="98">
        <f t="shared" si="67"/>
        <v>0</v>
      </c>
      <c r="AI103" s="98"/>
      <c r="AJ103" s="98">
        <f t="shared" si="68"/>
        <v>0</v>
      </c>
      <c r="AK103" s="98">
        <f t="shared" si="69"/>
        <v>525543760.41339153</v>
      </c>
      <c r="AL103" s="95" t="str">
        <f t="shared" si="70"/>
        <v>ok</v>
      </c>
    </row>
    <row r="104" spans="1:39" x14ac:dyDescent="0.25">
      <c r="A104" s="104" t="s">
        <v>215</v>
      </c>
      <c r="C104" s="94" t="s">
        <v>1708</v>
      </c>
      <c r="D104" s="94" t="s">
        <v>586</v>
      </c>
      <c r="F104" s="98">
        <f>'Jurisdictional Study'!F791</f>
        <v>49454285.943987392</v>
      </c>
      <c r="H104" s="98">
        <f t="shared" si="45"/>
        <v>11142453.637403591</v>
      </c>
      <c r="I104" s="98">
        <f t="shared" si="46"/>
        <v>10503743.109263116</v>
      </c>
      <c r="J104" s="98">
        <f t="shared" si="47"/>
        <v>10787416.68474159</v>
      </c>
      <c r="K104" s="98">
        <f t="shared" si="48"/>
        <v>0</v>
      </c>
      <c r="L104" s="98">
        <f t="shared" si="49"/>
        <v>0</v>
      </c>
      <c r="M104" s="98">
        <f t="shared" si="50"/>
        <v>0</v>
      </c>
      <c r="N104" s="98"/>
      <c r="O104" s="98">
        <f t="shared" si="51"/>
        <v>1663451.063861972</v>
      </c>
      <c r="P104" s="98">
        <f t="shared" si="52"/>
        <v>1568098.3038586837</v>
      </c>
      <c r="Q104" s="98">
        <f t="shared" si="53"/>
        <v>1610447.7832709358</v>
      </c>
      <c r="R104" s="98"/>
      <c r="S104" s="98">
        <f t="shared" si="54"/>
        <v>0</v>
      </c>
      <c r="T104" s="98">
        <f t="shared" si="55"/>
        <v>1322987.9688220427</v>
      </c>
      <c r="U104" s="98">
        <f t="shared" si="56"/>
        <v>0</v>
      </c>
      <c r="V104" s="98">
        <f t="shared" si="57"/>
        <v>2142758.7131641302</v>
      </c>
      <c r="W104" s="98">
        <f t="shared" si="58"/>
        <v>3066931.9634232083</v>
      </c>
      <c r="X104" s="98">
        <f t="shared" si="59"/>
        <v>378133.89055837592</v>
      </c>
      <c r="Y104" s="98">
        <f t="shared" si="60"/>
        <v>541223.28766291915</v>
      </c>
      <c r="Z104" s="98">
        <f t="shared" si="61"/>
        <v>1330932.4333024241</v>
      </c>
      <c r="AA104" s="98">
        <f t="shared" si="62"/>
        <v>1138788.1703391126</v>
      </c>
      <c r="AB104" s="98">
        <f t="shared" si="63"/>
        <v>763403.47430480807</v>
      </c>
      <c r="AC104" s="98">
        <f t="shared" si="64"/>
        <v>604974.35969170032</v>
      </c>
      <c r="AD104" s="98">
        <f t="shared" si="65"/>
        <v>888541.10031877877</v>
      </c>
      <c r="AE104" s="98"/>
      <c r="AF104" s="98">
        <f t="shared" si="66"/>
        <v>0</v>
      </c>
      <c r="AG104" s="98"/>
      <c r="AH104" s="98">
        <f t="shared" si="67"/>
        <v>0</v>
      </c>
      <c r="AI104" s="98"/>
      <c r="AJ104" s="98">
        <f t="shared" si="68"/>
        <v>0</v>
      </c>
      <c r="AK104" s="98">
        <f t="shared" si="69"/>
        <v>49454285.943987384</v>
      </c>
      <c r="AL104" s="95" t="str">
        <f t="shared" si="70"/>
        <v>ok</v>
      </c>
    </row>
    <row r="105" spans="1:39" x14ac:dyDescent="0.25">
      <c r="A105" s="104" t="s">
        <v>2030</v>
      </c>
      <c r="C105" s="94" t="s">
        <v>216</v>
      </c>
      <c r="D105" s="94" t="s">
        <v>586</v>
      </c>
      <c r="F105" s="98">
        <f>'Jurisdictional Study'!F793+'Jurisdictional Study'!F794</f>
        <v>16605337.59655381</v>
      </c>
      <c r="H105" s="98">
        <f t="shared" si="45"/>
        <v>3741317.8811760941</v>
      </c>
      <c r="I105" s="98">
        <f t="shared" si="46"/>
        <v>3526857.1171837021</v>
      </c>
      <c r="J105" s="98">
        <f t="shared" si="47"/>
        <v>3622106.6066491189</v>
      </c>
      <c r="K105" s="98">
        <f t="shared" si="48"/>
        <v>0</v>
      </c>
      <c r="L105" s="98">
        <f t="shared" si="49"/>
        <v>0</v>
      </c>
      <c r="M105" s="98">
        <f t="shared" si="50"/>
        <v>0</v>
      </c>
      <c r="N105" s="98"/>
      <c r="O105" s="98">
        <f t="shared" si="51"/>
        <v>558539.38568762038</v>
      </c>
      <c r="P105" s="98">
        <f t="shared" si="52"/>
        <v>526522.65062827454</v>
      </c>
      <c r="Q105" s="98">
        <f t="shared" si="53"/>
        <v>540742.39699111215</v>
      </c>
      <c r="R105" s="98"/>
      <c r="S105" s="98">
        <f t="shared" si="54"/>
        <v>0</v>
      </c>
      <c r="T105" s="98">
        <f t="shared" si="55"/>
        <v>444221.59655385651</v>
      </c>
      <c r="U105" s="98">
        <f t="shared" si="56"/>
        <v>0</v>
      </c>
      <c r="V105" s="98">
        <f t="shared" si="57"/>
        <v>719477.21296284383</v>
      </c>
      <c r="W105" s="98">
        <f t="shared" si="58"/>
        <v>1029788.2107929962</v>
      </c>
      <c r="X105" s="98">
        <f t="shared" si="59"/>
        <v>126966.56699344305</v>
      </c>
      <c r="Y105" s="98">
        <f t="shared" si="60"/>
        <v>181727.33131641112</v>
      </c>
      <c r="Z105" s="98">
        <f t="shared" si="61"/>
        <v>446889.12095952645</v>
      </c>
      <c r="AA105" s="98">
        <f t="shared" si="62"/>
        <v>382372.5620234508</v>
      </c>
      <c r="AB105" s="98">
        <f t="shared" si="63"/>
        <v>256329.09607816584</v>
      </c>
      <c r="AC105" s="98">
        <f t="shared" si="64"/>
        <v>203133.12159269018</v>
      </c>
      <c r="AD105" s="98">
        <f t="shared" si="65"/>
        <v>298346.73896450322</v>
      </c>
      <c r="AE105" s="98"/>
      <c r="AF105" s="98">
        <f t="shared" si="66"/>
        <v>0</v>
      </c>
      <c r="AG105" s="98"/>
      <c r="AH105" s="98">
        <f t="shared" si="67"/>
        <v>0</v>
      </c>
      <c r="AI105" s="98"/>
      <c r="AJ105" s="98">
        <f t="shared" si="68"/>
        <v>0</v>
      </c>
      <c r="AK105" s="98">
        <f t="shared" si="69"/>
        <v>16605337.596553808</v>
      </c>
      <c r="AL105" s="95" t="str">
        <f t="shared" si="70"/>
        <v>ok</v>
      </c>
    </row>
    <row r="106" spans="1:39" x14ac:dyDescent="0.25">
      <c r="Y106" s="94"/>
      <c r="AK106" s="98"/>
      <c r="AL106" s="95"/>
    </row>
    <row r="107" spans="1:39" x14ac:dyDescent="0.25">
      <c r="A107" s="94" t="s">
        <v>217</v>
      </c>
      <c r="C107" s="94" t="s">
        <v>218</v>
      </c>
      <c r="F107" s="99">
        <f t="shared" ref="F107:M107" si="71">SUM(F98:F105)</f>
        <v>2091528460.1268773</v>
      </c>
      <c r="G107" s="99"/>
      <c r="H107" s="99">
        <f t="shared" si="71"/>
        <v>441249161.78878284</v>
      </c>
      <c r="I107" s="99">
        <f t="shared" si="71"/>
        <v>415955766.42552173</v>
      </c>
      <c r="J107" s="99">
        <f t="shared" si="71"/>
        <v>427189443.627581</v>
      </c>
      <c r="K107" s="99">
        <f>SUM(K98:K105)</f>
        <v>0</v>
      </c>
      <c r="L107" s="99">
        <f t="shared" si="71"/>
        <v>0</v>
      </c>
      <c r="M107" s="99">
        <f t="shared" si="71"/>
        <v>0</v>
      </c>
      <c r="N107" s="99"/>
      <c r="O107" s="99">
        <f>SUM(O98:O105)</f>
        <v>91150576.170673296</v>
      </c>
      <c r="P107" s="99">
        <f>SUM(P98:P105)</f>
        <v>85925619.932053909</v>
      </c>
      <c r="Q107" s="99">
        <f>SUM(Q98:Q105)</f>
        <v>88246204.849047408</v>
      </c>
      <c r="R107" s="99"/>
      <c r="S107" s="99">
        <f t="shared" ref="S107:AD107" si="72">SUM(S98:S105)</f>
        <v>0</v>
      </c>
      <c r="T107" s="99">
        <f t="shared" si="72"/>
        <v>58857825.044741109</v>
      </c>
      <c r="U107" s="99">
        <f t="shared" si="72"/>
        <v>0</v>
      </c>
      <c r="V107" s="99">
        <f t="shared" si="72"/>
        <v>95328242.149323255</v>
      </c>
      <c r="W107" s="99">
        <f t="shared" si="72"/>
        <v>136443376.04068464</v>
      </c>
      <c r="X107" s="99">
        <f t="shared" si="72"/>
        <v>16822630.967527628</v>
      </c>
      <c r="Y107" s="99">
        <f t="shared" si="72"/>
        <v>24078242.830709063</v>
      </c>
      <c r="Z107" s="99">
        <f t="shared" si="72"/>
        <v>59211262.801908925</v>
      </c>
      <c r="AA107" s="99">
        <f t="shared" si="72"/>
        <v>50663041.8963819</v>
      </c>
      <c r="AB107" s="99">
        <f t="shared" si="72"/>
        <v>33962718.624861374</v>
      </c>
      <c r="AC107" s="99">
        <f t="shared" si="72"/>
        <v>26914436.002764586</v>
      </c>
      <c r="AD107" s="99">
        <f t="shared" si="72"/>
        <v>39529910.974314459</v>
      </c>
      <c r="AE107" s="99"/>
      <c r="AF107" s="99">
        <f>SUM(AF98:AF105)</f>
        <v>0</v>
      </c>
      <c r="AG107" s="99"/>
      <c r="AH107" s="99">
        <f>SUM(AH98:AH105)</f>
        <v>0</v>
      </c>
      <c r="AI107" s="99"/>
      <c r="AJ107" s="99">
        <f>SUM(AJ98:AJ105)</f>
        <v>0</v>
      </c>
      <c r="AK107" s="98">
        <f>SUM(H107:AJ107)</f>
        <v>2091528460.1268773</v>
      </c>
      <c r="AL107" s="95" t="str">
        <f>IF(ABS(AK107-F107)&lt;1,"ok","err")</f>
        <v>ok</v>
      </c>
    </row>
    <row r="108" spans="1:39" x14ac:dyDescent="0.25">
      <c r="F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8"/>
      <c r="AL108" s="95"/>
    </row>
    <row r="109" spans="1:39" x14ac:dyDescent="0.25">
      <c r="A109" s="15" t="s">
        <v>219</v>
      </c>
      <c r="C109" s="94" t="s">
        <v>220</v>
      </c>
      <c r="F109" s="99">
        <f>F95-F107</f>
        <v>3861083105.9023919</v>
      </c>
      <c r="G109" s="99"/>
      <c r="H109" s="99">
        <f t="shared" ref="H109:M109" si="73">H95-H107</f>
        <v>913825431.82532501</v>
      </c>
      <c r="I109" s="99">
        <f t="shared" si="73"/>
        <v>861442900.72552693</v>
      </c>
      <c r="J109" s="99">
        <f t="shared" si="73"/>
        <v>884707805.92906845</v>
      </c>
      <c r="K109" s="99">
        <f t="shared" si="73"/>
        <v>0</v>
      </c>
      <c r="L109" s="99">
        <f t="shared" si="73"/>
        <v>0</v>
      </c>
      <c r="M109" s="99">
        <f t="shared" si="73"/>
        <v>0</v>
      </c>
      <c r="N109" s="99"/>
      <c r="O109" s="99">
        <f>O95-O107</f>
        <v>111793338.94002678</v>
      </c>
      <c r="P109" s="99">
        <f>P95-P107</f>
        <v>105385093.06523307</v>
      </c>
      <c r="Q109" s="99">
        <f>Q95-Q107</f>
        <v>108231218.09332733</v>
      </c>
      <c r="R109" s="99"/>
      <c r="S109" s="99">
        <f t="shared" ref="S109:AD109" si="74">S95-S107</f>
        <v>0</v>
      </c>
      <c r="T109" s="99">
        <f t="shared" si="74"/>
        <v>95128327.240198299</v>
      </c>
      <c r="U109" s="99">
        <f t="shared" si="74"/>
        <v>0</v>
      </c>
      <c r="V109" s="99">
        <f t="shared" si="74"/>
        <v>154073246.97302824</v>
      </c>
      <c r="W109" s="99">
        <f t="shared" si="74"/>
        <v>220525140.30019194</v>
      </c>
      <c r="X109" s="99">
        <f t="shared" si="74"/>
        <v>27189396.524652041</v>
      </c>
      <c r="Y109" s="99">
        <f t="shared" si="74"/>
        <v>38916201.229445629</v>
      </c>
      <c r="Z109" s="99">
        <f t="shared" si="74"/>
        <v>95699567.217165545</v>
      </c>
      <c r="AA109" s="99">
        <f t="shared" si="74"/>
        <v>81883597.038105458</v>
      </c>
      <c r="AB109" s="99">
        <f t="shared" si="74"/>
        <v>54891879.012801901</v>
      </c>
      <c r="AC109" s="99">
        <f t="shared" si="74"/>
        <v>43500167.965943664</v>
      </c>
      <c r="AD109" s="99">
        <f t="shared" si="74"/>
        <v>63889793.822350554</v>
      </c>
      <c r="AE109" s="99"/>
      <c r="AF109" s="99">
        <f>AF95-AF107</f>
        <v>0</v>
      </c>
      <c r="AG109" s="99"/>
      <c r="AH109" s="99">
        <f>AH95-AH107</f>
        <v>0</v>
      </c>
      <c r="AI109" s="99"/>
      <c r="AJ109" s="99">
        <f>AJ95-AJ107</f>
        <v>0</v>
      </c>
      <c r="AK109" s="98">
        <f>SUM(H109:AJ109)</f>
        <v>3861083105.902391</v>
      </c>
      <c r="AL109" s="95" t="str">
        <f>IF(ABS(AK109-F109)&lt;1,"ok","err")</f>
        <v>ok</v>
      </c>
    </row>
    <row r="110" spans="1:39" x14ac:dyDescent="0.25">
      <c r="Y110" s="94"/>
      <c r="AL110" s="95"/>
    </row>
    <row r="111" spans="1:39" x14ac:dyDescent="0.25">
      <c r="A111" s="15" t="s">
        <v>944</v>
      </c>
      <c r="Y111" s="94"/>
      <c r="AL111" s="95"/>
    </row>
    <row r="112" spans="1:39" x14ac:dyDescent="0.25">
      <c r="A112" s="94" t="s">
        <v>1700</v>
      </c>
      <c r="C112" s="94" t="s">
        <v>946</v>
      </c>
      <c r="D112" s="94" t="s">
        <v>947</v>
      </c>
      <c r="F112" s="97">
        <f>'Jurisdictional Study'!F844</f>
        <v>96090910.252275959</v>
      </c>
      <c r="G112" s="97"/>
      <c r="H112" s="98">
        <f>IF(VLOOKUP($D112,$C$5:$AJ$646,6,)=0,0,((VLOOKUP($D112,$C$5:$AJ$646,6,)/VLOOKUP($D112,$C$5:$AJ$646,4,))*$F112))</f>
        <v>3567741.5000420688</v>
      </c>
      <c r="I112" s="98">
        <f>IF(VLOOKUP($D112,$C$5:$AJ$646,7,)=0,0,((VLOOKUP($D112,$C$5:$AJ$646,7,)/VLOOKUP($D112,$C$5:$AJ$646,4,))*$F112))</f>
        <v>3363230.5249987342</v>
      </c>
      <c r="J112" s="98">
        <f>IF(VLOOKUP($D112,$C$5:$AJ$646,8,)=0,0,((VLOOKUP($D112,$C$5:$AJ$646,8,)/VLOOKUP($D112,$C$5:$AJ$646,4,))*$F112))</f>
        <v>3454060.9668955249</v>
      </c>
      <c r="K112" s="98">
        <f>IF(VLOOKUP($D112,$C$5:$AJ$646,9,)=0,0,((VLOOKUP($D112,$C$5:$AJ$646,9,)/VLOOKUP($D112,$C$5:$AJ$646,4,))*$F112))</f>
        <v>66178542.027407862</v>
      </c>
      <c r="L112" s="98">
        <f>IF(VLOOKUP($D112,$C$5:$AJ$646,10,)=0,0,((VLOOKUP($D112,$C$5:$AJ$646,10,)/VLOOKUP($D112,$C$5:$AJ$646,4,))*$F112))</f>
        <v>0</v>
      </c>
      <c r="M112" s="98">
        <f>IF(VLOOKUP($D112,$C$5:$AJ$646,11,)=0,0,((VLOOKUP($D112,$C$5:$AJ$646,11,)/VLOOKUP($D112,$C$5:$AJ$646,4,))*$F112))</f>
        <v>0</v>
      </c>
      <c r="N112" s="98"/>
      <c r="O112" s="98">
        <f>IF(VLOOKUP($D112,$C$5:$AJ$646,13,)=0,0,((VLOOKUP($D112,$C$5:$AJ$646,13,)/VLOOKUP($D112,$C$5:$AJ$646,4,))*$F112))</f>
        <v>1277521.6960586922</v>
      </c>
      <c r="P112" s="98">
        <f>IF(VLOOKUP($D112,$C$5:$AJ$646,14,)=0,0,((VLOOKUP($D112,$C$5:$AJ$646,14,)/VLOOKUP($D112,$C$5:$AJ$646,4,))*$F112))</f>
        <v>1204291.2762827929</v>
      </c>
      <c r="Q112" s="98">
        <f>IF(VLOOKUP($D112,$C$5:$AJ$646,15,)=0,0,((VLOOKUP($D112,$C$5:$AJ$646,15,)/VLOOKUP($D112,$C$5:$AJ$646,4,))*$F112))</f>
        <v>1236815.4544454711</v>
      </c>
      <c r="R112" s="98"/>
      <c r="S112" s="98">
        <f>IF(VLOOKUP($D112,$C$5:$AJ$646,17,)=0,0,((VLOOKUP($D112,$C$5:$AJ$646,17,)/VLOOKUP($D112,$C$5:$AJ$646,4,))*$F112))</f>
        <v>0</v>
      </c>
      <c r="T112" s="98">
        <f>IF(VLOOKUP($D112,$C$5:$AJ$646,18,)=0,0,((VLOOKUP($D112,$C$5:$AJ$646,18,)/VLOOKUP($D112,$C$5:$AJ$646,4,))*$F112))</f>
        <v>754865.22554161318</v>
      </c>
      <c r="U112" s="98">
        <f>IF(VLOOKUP($D112,$C$5:$AJ$646,19,)=0,0,((VLOOKUP($D112,$C$5:$AJ$646,19,)/VLOOKUP($D112,$C$5:$AJ$646,4,))*$F112))</f>
        <v>0</v>
      </c>
      <c r="V112" s="98">
        <f>IF(VLOOKUP($D112,$C$5:$AJ$646,20,)=0,0,((VLOOKUP($D112,$C$5:$AJ$646,20,)/VLOOKUP($D112,$C$5:$AJ$646,4,))*$F112))</f>
        <v>2247244.7882786836</v>
      </c>
      <c r="W112" s="98">
        <f>IF(VLOOKUP($D112,$C$5:$AJ$646,21,)=0,0,((VLOOKUP($D112,$C$5:$AJ$646,21,)/VLOOKUP($D112,$C$5:$AJ$646,4,))*$F112))</f>
        <v>2875352.4919026177</v>
      </c>
      <c r="X112" s="98">
        <f>IF(VLOOKUP($D112,$C$5:$AJ$646,22,)=0,0,((VLOOKUP($D112,$C$5:$AJ$646,22,)/VLOOKUP($D112,$C$5:$AJ$646,4,))*$F112))</f>
        <v>396572.60969623824</v>
      </c>
      <c r="Y112" s="98">
        <f>IF(VLOOKUP($D112,$C$5:$AJ$646,23,)=0,0,((VLOOKUP($D112,$C$5:$AJ$646,23,)/VLOOKUP($D112,$C$5:$AJ$646,4,))*$F112))</f>
        <v>507415.14562987379</v>
      </c>
      <c r="Z112" s="98">
        <f>IF(VLOOKUP($D112,$C$5:$AJ$646,24,)=0,0,((VLOOKUP($D112,$C$5:$AJ$646,24,)/VLOOKUP($D112,$C$5:$AJ$646,4,))*$F112))</f>
        <v>389637.69408019324</v>
      </c>
      <c r="AA112" s="98">
        <f>IF(VLOOKUP($D112,$C$5:$AJ$646,25,)=0,0,((VLOOKUP($D112,$C$5:$AJ$646,25,)/VLOOKUP($D112,$C$5:$AJ$646,4,))*$F112))</f>
        <v>333386.41814877902</v>
      </c>
      <c r="AB112" s="98">
        <f>IF(VLOOKUP($D112,$C$5:$AJ$646,26,)=0,0,((VLOOKUP($D112,$C$5:$AJ$646,26,)/VLOOKUP($D112,$C$5:$AJ$646,4,))*$F112))</f>
        <v>216212.45908800646</v>
      </c>
      <c r="AC112" s="98">
        <f>IF(VLOOKUP($D112,$C$5:$AJ$646,27,)=0,0,((VLOOKUP($D112,$C$5:$AJ$646,27,)/VLOOKUP($D112,$C$5:$AJ$646,4,))*$F112))</f>
        <v>1188294.623210619</v>
      </c>
      <c r="AD112" s="98">
        <f>IF(VLOOKUP($D112,$C$5:$AJ$646,28,)=0,0,((VLOOKUP($D112,$C$5:$AJ$646,28,)/VLOOKUP($D112,$C$5:$AJ$646,4,))*$F112))</f>
        <v>245638.7651407129</v>
      </c>
      <c r="AE112" s="98"/>
      <c r="AF112" s="98">
        <f>IF(VLOOKUP($D112,$C$5:$AJ$646,30,)=0,0,((VLOOKUP($D112,$C$5:$AJ$646,30,)/VLOOKUP($D112,$C$5:$AJ$646,4,))*$F112))</f>
        <v>4672230.2343217088</v>
      </c>
      <c r="AG112" s="98"/>
      <c r="AH112" s="98">
        <f>IF(VLOOKUP($D112,$C$5:$AJ$646,32,)=0,0,((VLOOKUP($D112,$C$5:$AJ$646,32,)/VLOOKUP($D112,$C$5:$AJ$646,4,))*$F112))</f>
        <v>1981856.3511057806</v>
      </c>
      <c r="AI112" s="98"/>
      <c r="AJ112" s="98">
        <f>IF(VLOOKUP($D112,$C$5:$AJ$646,34,)=0,0,((VLOOKUP($D112,$C$5:$AJ$646,34,)/VLOOKUP($D112,$C$5:$AJ$646,4,))*$F112))</f>
        <v>0</v>
      </c>
      <c r="AK112" s="98">
        <f>SUM(H112:AJ112)</f>
        <v>96090910.252275974</v>
      </c>
      <c r="AL112" s="95" t="str">
        <f>IF(ABS(AK112-F112)&lt;1,"ok","err")</f>
        <v>ok</v>
      </c>
      <c r="AM112" s="106">
        <f>+AK112-F112</f>
        <v>0</v>
      </c>
    </row>
    <row r="113" spans="1:39" x14ac:dyDescent="0.25">
      <c r="A113" s="94" t="s">
        <v>209</v>
      </c>
      <c r="C113" s="94" t="s">
        <v>590</v>
      </c>
      <c r="D113" s="94" t="s">
        <v>205</v>
      </c>
      <c r="F113" s="98">
        <f>'Jurisdictional Study'!F837</f>
        <v>115098215.06603494</v>
      </c>
      <c r="G113" s="98"/>
      <c r="H113" s="98">
        <f>IF(VLOOKUP($D113,$C$5:$AJ$646,6,)=0,0,((VLOOKUP($D113,$C$5:$AJ$646,6,)/VLOOKUP($D113,$C$5:$AJ$646,4,))*$F113))</f>
        <v>25925640.364516553</v>
      </c>
      <c r="I113" s="98">
        <f>IF(VLOOKUP($D113,$C$5:$AJ$646,7,)=0,0,((VLOOKUP($D113,$C$5:$AJ$646,7,)/VLOOKUP($D113,$C$5:$AJ$646,4,))*$F113))</f>
        <v>24439524.290942386</v>
      </c>
      <c r="J113" s="98">
        <f>IF(VLOOKUP($D113,$C$5:$AJ$646,8,)=0,0,((VLOOKUP($D113,$C$5:$AJ$646,8,)/VLOOKUP($D113,$C$5:$AJ$646,4,))*$F113))</f>
        <v>25099560.162582342</v>
      </c>
      <c r="K113" s="98">
        <f>IF(VLOOKUP($D113,$C$5:$AJ$646,9,)=0,0,((VLOOKUP($D113,$C$5:$AJ$646,9,)/VLOOKUP($D113,$C$5:$AJ$646,4,))*$F113))</f>
        <v>0</v>
      </c>
      <c r="L113" s="98">
        <f>IF(VLOOKUP($D113,$C$5:$AJ$646,10,)=0,0,((VLOOKUP($D113,$C$5:$AJ$646,10,)/VLOOKUP($D113,$C$5:$AJ$646,4,))*$F113))</f>
        <v>0</v>
      </c>
      <c r="M113" s="98">
        <f>IF(VLOOKUP($D113,$C$5:$AJ$646,11,)=0,0,((VLOOKUP($D113,$C$5:$AJ$646,11,)/VLOOKUP($D113,$C$5:$AJ$646,4,))*$F113))</f>
        <v>0</v>
      </c>
      <c r="N113" s="98"/>
      <c r="O113" s="98">
        <f>IF(VLOOKUP($D113,$C$5:$AJ$646,13,)=0,0,((VLOOKUP($D113,$C$5:$AJ$646,13,)/VLOOKUP($D113,$C$5:$AJ$646,4,))*$F113))</f>
        <v>3870425.2626091386</v>
      </c>
      <c r="P113" s="98">
        <f>IF(VLOOKUP($D113,$C$5:$AJ$646,14,)=0,0,((VLOOKUP($D113,$C$5:$AJ$646,14,)/VLOOKUP($D113,$C$5:$AJ$646,4,))*$F113))</f>
        <v>3648563.7728461558</v>
      </c>
      <c r="Q113" s="98">
        <f>IF(VLOOKUP($D113,$C$5:$AJ$646,15,)=0,0,((VLOOKUP($D113,$C$5:$AJ$646,15,)/VLOOKUP($D113,$C$5:$AJ$646,4,))*$F113))</f>
        <v>3747100.1822040495</v>
      </c>
      <c r="R113" s="98"/>
      <c r="S113" s="98">
        <f>IF(VLOOKUP($D113,$C$5:$AJ$646,17,)=0,0,((VLOOKUP($D113,$C$5:$AJ$646,17,)/VLOOKUP($D113,$C$5:$AJ$646,4,))*$F113))</f>
        <v>0</v>
      </c>
      <c r="T113" s="98">
        <f>IF(VLOOKUP($D113,$C$5:$AJ$646,18,)=0,0,((VLOOKUP($D113,$C$5:$AJ$646,18,)/VLOOKUP($D113,$C$5:$AJ$646,4,))*$F113))</f>
        <v>3081593.7822149377</v>
      </c>
      <c r="U113" s="98">
        <f>IF(VLOOKUP($D113,$C$5:$AJ$646,19,)=0,0,((VLOOKUP($D113,$C$5:$AJ$646,19,)/VLOOKUP($D113,$C$5:$AJ$646,4,))*$F113))</f>
        <v>0</v>
      </c>
      <c r="V113" s="98">
        <f>IF(VLOOKUP($D113,$C$5:$AJ$646,20,)=0,0,((VLOOKUP($D113,$C$5:$AJ$646,20,)/VLOOKUP($D113,$C$5:$AJ$646,4,))*$F113))</f>
        <v>4991059.6943317028</v>
      </c>
      <c r="W113" s="98">
        <f>IF(VLOOKUP($D113,$C$5:$AJ$646,21,)=0,0,((VLOOKUP($D113,$C$5:$AJ$646,21,)/VLOOKUP($D113,$C$5:$AJ$646,4,))*$F113))</f>
        <v>7143707.0417021196</v>
      </c>
      <c r="X113" s="98">
        <f>IF(VLOOKUP($D113,$C$5:$AJ$646,22,)=0,0,((VLOOKUP($D113,$C$5:$AJ$646,22,)/VLOOKUP($D113,$C$5:$AJ$646,4,))*$F113))</f>
        <v>880775.24017618271</v>
      </c>
      <c r="Y113" s="98">
        <f>IF(VLOOKUP($D113,$C$5:$AJ$646,23,)=0,0,((VLOOKUP($D113,$C$5:$AJ$646,23,)/VLOOKUP($D113,$C$5:$AJ$646,4,))*$F113))</f>
        <v>1260654.183829786</v>
      </c>
      <c r="Z113" s="98">
        <f>IF(VLOOKUP($D113,$C$5:$AJ$646,24,)=0,0,((VLOOKUP($D113,$C$5:$AJ$646,24,)/VLOOKUP($D113,$C$5:$AJ$646,4,))*$F113))</f>
        <v>3100098.5705597391</v>
      </c>
      <c r="AA113" s="98">
        <f>IF(VLOOKUP($D113,$C$5:$AJ$646,25,)=0,0,((VLOOKUP($D113,$C$5:$AJ$646,25,)/VLOOKUP($D113,$C$5:$AJ$646,4,))*$F113))</f>
        <v>2652543.052301161</v>
      </c>
      <c r="AB113" s="98">
        <f>IF(VLOOKUP($D113,$C$5:$AJ$646,26,)=0,0,((VLOOKUP($D113,$C$5:$AJ$646,26,)/VLOOKUP($D113,$C$5:$AJ$646,4,))*$F113))</f>
        <v>1778171.4234586635</v>
      </c>
      <c r="AC113" s="98">
        <f>IF(VLOOKUP($D113,$C$5:$AJ$646,27,)=0,0,((VLOOKUP($D113,$C$5:$AJ$646,27,)/VLOOKUP($D113,$C$5:$AJ$646,4,))*$F113))</f>
        <v>1409147.5275359626</v>
      </c>
      <c r="AD113" s="98">
        <f>IF(VLOOKUP($D113,$C$5:$AJ$646,28,)=0,0,((VLOOKUP($D113,$C$5:$AJ$646,28,)/VLOOKUP($D113,$C$5:$AJ$646,4,))*$F113))</f>
        <v>2069650.5142240468</v>
      </c>
      <c r="AE113" s="98"/>
      <c r="AF113" s="98">
        <f>IF(VLOOKUP($D113,$C$5:$AJ$646,30,)=0,0,((VLOOKUP($D113,$C$5:$AJ$646,30,)/VLOOKUP($D113,$C$5:$AJ$646,4,))*$F113))</f>
        <v>0</v>
      </c>
      <c r="AG113" s="98"/>
      <c r="AH113" s="98">
        <f>IF(VLOOKUP($D113,$C$5:$AJ$646,32,)=0,0,((VLOOKUP($D113,$C$5:$AJ$646,32,)/VLOOKUP($D113,$C$5:$AJ$646,4,))*$F113))</f>
        <v>0</v>
      </c>
      <c r="AI113" s="98"/>
      <c r="AJ113" s="98">
        <f>IF(VLOOKUP($D113,$C$5:$AJ$646,34,)=0,0,((VLOOKUP($D113,$C$5:$AJ$646,34,)/VLOOKUP($D113,$C$5:$AJ$646,4,))*$F113))</f>
        <v>0</v>
      </c>
      <c r="AK113" s="98">
        <f>SUM(H113:AJ113)</f>
        <v>115098215.06603496</v>
      </c>
      <c r="AL113" s="95" t="str">
        <f>IF(ABS(AK113-F113)&lt;1,"ok","err")</f>
        <v>ok</v>
      </c>
    </row>
    <row r="114" spans="1:39" x14ac:dyDescent="0.25">
      <c r="A114" s="94" t="s">
        <v>948</v>
      </c>
      <c r="C114" s="94" t="s">
        <v>949</v>
      </c>
      <c r="D114" s="94" t="s">
        <v>205</v>
      </c>
      <c r="F114" s="98">
        <f>'Jurisdictional Study'!F842</f>
        <v>6567466.8476915052</v>
      </c>
      <c r="H114" s="98">
        <f>IF(VLOOKUP($D114,$C$5:$AJ$646,6,)=0,0,((VLOOKUP($D114,$C$5:$AJ$646,6,)/VLOOKUP($D114,$C$5:$AJ$646,4,))*$F114))</f>
        <v>1479308.6365539995</v>
      </c>
      <c r="I114" s="98">
        <f>IF(VLOOKUP($D114,$C$5:$AJ$646,7,)=0,0,((VLOOKUP($D114,$C$5:$AJ$646,7,)/VLOOKUP($D114,$C$5:$AJ$646,4,))*$F114))</f>
        <v>1394511.3350544043</v>
      </c>
      <c r="J114" s="98">
        <f>IF(VLOOKUP($D114,$C$5:$AJ$646,8,)=0,0,((VLOOKUP($D114,$C$5:$AJ$646,8,)/VLOOKUP($D114,$C$5:$AJ$646,4,))*$F114))</f>
        <v>1432172.7679688558</v>
      </c>
      <c r="K114" s="98">
        <f>IF(VLOOKUP($D114,$C$5:$AJ$646,9,)=0,0,((VLOOKUP($D114,$C$5:$AJ$646,9,)/VLOOKUP($D114,$C$5:$AJ$646,4,))*$F114))</f>
        <v>0</v>
      </c>
      <c r="L114" s="98">
        <f>IF(VLOOKUP($D114,$C$5:$AJ$646,10,)=0,0,((VLOOKUP($D114,$C$5:$AJ$646,10,)/VLOOKUP($D114,$C$5:$AJ$646,4,))*$F114))</f>
        <v>0</v>
      </c>
      <c r="M114" s="98">
        <f>IF(VLOOKUP($D114,$C$5:$AJ$646,11,)=0,0,((VLOOKUP($D114,$C$5:$AJ$646,11,)/VLOOKUP($D114,$C$5:$AJ$646,4,))*$F114))</f>
        <v>0</v>
      </c>
      <c r="N114" s="98"/>
      <c r="O114" s="98">
        <f>IF(VLOOKUP($D114,$C$5:$AJ$646,13,)=0,0,((VLOOKUP($D114,$C$5:$AJ$646,13,)/VLOOKUP($D114,$C$5:$AJ$646,4,))*$F114))</f>
        <v>220845.21105796215</v>
      </c>
      <c r="P114" s="98">
        <f>IF(VLOOKUP($D114,$C$5:$AJ$646,14,)=0,0,((VLOOKUP($D114,$C$5:$AJ$646,14,)/VLOOKUP($D114,$C$5:$AJ$646,4,))*$F114))</f>
        <v>208185.86635863836</v>
      </c>
      <c r="Q114" s="98">
        <f>IF(VLOOKUP($D114,$C$5:$AJ$646,15,)=0,0,((VLOOKUP($D114,$C$5:$AJ$646,15,)/VLOOKUP($D114,$C$5:$AJ$646,4,))*$F114))</f>
        <v>213808.32194039735</v>
      </c>
      <c r="R114" s="98"/>
      <c r="S114" s="98">
        <f>IF(VLOOKUP($D114,$C$5:$AJ$646,17,)=0,0,((VLOOKUP($D114,$C$5:$AJ$646,17,)/VLOOKUP($D114,$C$5:$AJ$646,4,))*$F114))</f>
        <v>0</v>
      </c>
      <c r="T114" s="98">
        <f>IF(VLOOKUP($D114,$C$5:$AJ$646,18,)=0,0,((VLOOKUP($D114,$C$5:$AJ$646,18,)/VLOOKUP($D114,$C$5:$AJ$646,4,))*$F114))</f>
        <v>175834.742451372</v>
      </c>
      <c r="U114" s="98">
        <f>IF(VLOOKUP($D114,$C$5:$AJ$646,19,)=0,0,((VLOOKUP($D114,$C$5:$AJ$646,19,)/VLOOKUP($D114,$C$5:$AJ$646,4,))*$F114))</f>
        <v>0</v>
      </c>
      <c r="V114" s="98">
        <f>IF(VLOOKUP($D114,$C$5:$AJ$646,20,)=0,0,((VLOOKUP($D114,$C$5:$AJ$646,20,)/VLOOKUP($D114,$C$5:$AJ$646,4,))*$F114))</f>
        <v>284788.24852815294</v>
      </c>
      <c r="W114" s="98">
        <f>IF(VLOOKUP($D114,$C$5:$AJ$646,21,)=0,0,((VLOOKUP($D114,$C$5:$AJ$646,21,)/VLOOKUP($D114,$C$5:$AJ$646,4,))*$F114))</f>
        <v>407617.60848404141</v>
      </c>
      <c r="X114" s="98">
        <f>IF(VLOOKUP($D114,$C$5:$AJ$646,22,)=0,0,((VLOOKUP($D114,$C$5:$AJ$646,22,)/VLOOKUP($D114,$C$5:$AJ$646,4,))*$F114))</f>
        <v>50256.749740262268</v>
      </c>
      <c r="Y114" s="98">
        <f>IF(VLOOKUP($D114,$C$5:$AJ$646,23,)=0,0,((VLOOKUP($D114,$C$5:$AJ$646,23,)/VLOOKUP($D114,$C$5:$AJ$646,4,))*$F114))</f>
        <v>71932.519144242615</v>
      </c>
      <c r="Z114" s="98">
        <f>IF(VLOOKUP($D114,$C$5:$AJ$646,24,)=0,0,((VLOOKUP($D114,$C$5:$AJ$646,24,)/VLOOKUP($D114,$C$5:$AJ$646,4,))*$F114))</f>
        <v>176890.61967682079</v>
      </c>
      <c r="AA114" s="98">
        <f>IF(VLOOKUP($D114,$C$5:$AJ$646,25,)=0,0,((VLOOKUP($D114,$C$5:$AJ$646,25,)/VLOOKUP($D114,$C$5:$AJ$646,4,))*$F114))</f>
        <v>151353.24686023765</v>
      </c>
      <c r="AB114" s="98">
        <f>IF(VLOOKUP($D114,$C$5:$AJ$646,26,)=0,0,((VLOOKUP($D114,$C$5:$AJ$646,26,)/VLOOKUP($D114,$C$5:$AJ$646,4,))*$F114))</f>
        <v>101461.88510722911</v>
      </c>
      <c r="AC114" s="98">
        <f>IF(VLOOKUP($D114,$C$5:$AJ$646,27,)=0,0,((VLOOKUP($D114,$C$5:$AJ$646,27,)/VLOOKUP($D114,$C$5:$AJ$646,4,))*$F114))</f>
        <v>80405.501208592279</v>
      </c>
      <c r="AD114" s="98">
        <f>IF(VLOOKUP($D114,$C$5:$AJ$646,28,)=0,0,((VLOOKUP($D114,$C$5:$AJ$646,28,)/VLOOKUP($D114,$C$5:$AJ$646,4,))*$F114))</f>
        <v>118093.5875562953</v>
      </c>
      <c r="AE114" s="98"/>
      <c r="AF114" s="98">
        <f>IF(VLOOKUP($D114,$C$5:$AJ$646,30,)=0,0,((VLOOKUP($D114,$C$5:$AJ$646,30,)/VLOOKUP($D114,$C$5:$AJ$646,4,))*$F114))</f>
        <v>0</v>
      </c>
      <c r="AG114" s="98"/>
      <c r="AH114" s="98">
        <f>IF(VLOOKUP($D114,$C$5:$AJ$646,32,)=0,0,((VLOOKUP($D114,$C$5:$AJ$646,32,)/VLOOKUP($D114,$C$5:$AJ$646,4,))*$F114))</f>
        <v>0</v>
      </c>
      <c r="AI114" s="98"/>
      <c r="AJ114" s="98">
        <f>IF(VLOOKUP($D114,$C$5:$AJ$646,34,)=0,0,((VLOOKUP($D114,$C$5:$AJ$646,34,)/VLOOKUP($D114,$C$5:$AJ$646,4,))*$F114))</f>
        <v>0</v>
      </c>
      <c r="AK114" s="98">
        <f>SUM(H114:AJ114)</f>
        <v>6567466.8476915043</v>
      </c>
      <c r="AL114" s="95" t="str">
        <f>IF(ABS(AK114-F114)&lt;1,"ok","err")</f>
        <v>ok</v>
      </c>
    </row>
    <row r="115" spans="1:39" x14ac:dyDescent="0.25">
      <c r="Y115" s="94"/>
      <c r="AK115" s="98"/>
      <c r="AL115" s="95"/>
    </row>
    <row r="116" spans="1:39" x14ac:dyDescent="0.25">
      <c r="A116" s="104" t="s">
        <v>950</v>
      </c>
      <c r="C116" s="94" t="s">
        <v>951</v>
      </c>
      <c r="F116" s="99">
        <f>SUM(F112:F115)</f>
        <v>217756592.16600242</v>
      </c>
      <c r="G116" s="99"/>
      <c r="H116" s="99">
        <f t="shared" ref="H116:M116" si="75">SUM(H112:H115)</f>
        <v>30972690.501112621</v>
      </c>
      <c r="I116" s="99">
        <f t="shared" si="75"/>
        <v>29197266.150995526</v>
      </c>
      <c r="J116" s="99">
        <f t="shared" si="75"/>
        <v>29985793.897446722</v>
      </c>
      <c r="K116" s="99">
        <f t="shared" si="75"/>
        <v>66178542.027407862</v>
      </c>
      <c r="L116" s="99">
        <f t="shared" si="75"/>
        <v>0</v>
      </c>
      <c r="M116" s="99">
        <f t="shared" si="75"/>
        <v>0</v>
      </c>
      <c r="N116" s="99"/>
      <c r="O116" s="99">
        <f>SUM(O112:O115)</f>
        <v>5368792.1697257925</v>
      </c>
      <c r="P116" s="99">
        <f>SUM(P112:P115)</f>
        <v>5061040.9154875875</v>
      </c>
      <c r="Q116" s="99">
        <f>SUM(Q112:Q115)</f>
        <v>5197723.958589918</v>
      </c>
      <c r="R116" s="99"/>
      <c r="S116" s="99">
        <f t="shared" ref="S116:AD116" si="76">SUM(S112:S115)</f>
        <v>0</v>
      </c>
      <c r="T116" s="99">
        <f t="shared" si="76"/>
        <v>4012293.7502079229</v>
      </c>
      <c r="U116" s="99">
        <f t="shared" si="76"/>
        <v>0</v>
      </c>
      <c r="V116" s="99">
        <f t="shared" si="76"/>
        <v>7523092.7311385386</v>
      </c>
      <c r="W116" s="99">
        <f t="shared" si="76"/>
        <v>10426677.142088778</v>
      </c>
      <c r="X116" s="99">
        <f t="shared" si="76"/>
        <v>1327604.5996126833</v>
      </c>
      <c r="Y116" s="99">
        <f t="shared" si="76"/>
        <v>1840001.8486039024</v>
      </c>
      <c r="Z116" s="99">
        <f t="shared" si="76"/>
        <v>3666626.8843167531</v>
      </c>
      <c r="AA116" s="99">
        <f t="shared" si="76"/>
        <v>3137282.7173101776</v>
      </c>
      <c r="AB116" s="99">
        <f t="shared" si="76"/>
        <v>2095845.7676538993</v>
      </c>
      <c r="AC116" s="99">
        <f t="shared" si="76"/>
        <v>2677847.6519551738</v>
      </c>
      <c r="AD116" s="99">
        <f t="shared" si="76"/>
        <v>2433382.8669210547</v>
      </c>
      <c r="AE116" s="99"/>
      <c r="AF116" s="99">
        <f>SUM(AF112:AF115)</f>
        <v>4672230.2343217088</v>
      </c>
      <c r="AG116" s="99"/>
      <c r="AH116" s="99">
        <f>SUM(AH112:AH115)</f>
        <v>1981856.3511057806</v>
      </c>
      <c r="AI116" s="99"/>
      <c r="AJ116" s="99">
        <f>SUM(AJ112:AJ115)</f>
        <v>0</v>
      </c>
      <c r="AK116" s="98">
        <f>SUM(H116:AJ116)</f>
        <v>217756592.16600245</v>
      </c>
      <c r="AL116" s="95" t="str">
        <f>IF(ABS(AK116-F116)&lt;1,"ok","err")</f>
        <v>ok</v>
      </c>
      <c r="AM116" s="106">
        <f>+AK116-F116</f>
        <v>0</v>
      </c>
    </row>
    <row r="117" spans="1:39" x14ac:dyDescent="0.25">
      <c r="A117" s="104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8"/>
      <c r="AL117" s="95"/>
    </row>
    <row r="118" spans="1:39" x14ac:dyDescent="0.25">
      <c r="A118" s="94" t="s">
        <v>2219</v>
      </c>
      <c r="C118" s="94" t="s">
        <v>2220</v>
      </c>
      <c r="D118" s="94" t="s">
        <v>885</v>
      </c>
      <c r="F118" s="98">
        <f>'Jurisdictional Study'!F848</f>
        <v>415670.69643548207</v>
      </c>
      <c r="H118" s="98">
        <f>IF(VLOOKUP($D118,$C$5:$AJ$646,6,)=0,0,((VLOOKUP($D118,$C$5:$AJ$646,6,)/VLOOKUP($D118,$C$5:$AJ$646,4,))*$F118))</f>
        <v>142802.20343794461</v>
      </c>
      <c r="I118" s="98">
        <f>IF(VLOOKUP($D118,$C$5:$AJ$646,7,)=0,0,((VLOOKUP($D118,$C$5:$AJ$646,7,)/VLOOKUP($D118,$C$5:$AJ$646,4,))*$F118))</f>
        <v>134616.45963809636</v>
      </c>
      <c r="J118" s="98">
        <f>IF(VLOOKUP($D118,$C$5:$AJ$646,8,)=0,0,((VLOOKUP($D118,$C$5:$AJ$646,8,)/VLOOKUP($D118,$C$5:$AJ$646,4,))*$F118))</f>
        <v>138252.03335944106</v>
      </c>
      <c r="K118" s="98">
        <f>IF(VLOOKUP($D118,$C$5:$AJ$646,9,)=0,0,((VLOOKUP($D118,$C$5:$AJ$646,9,)/VLOOKUP($D118,$C$5:$AJ$646,4,))*$F118))</f>
        <v>0</v>
      </c>
      <c r="L118" s="98">
        <f>IF(VLOOKUP($D118,$C$5:$AJ$646,10,)=0,0,((VLOOKUP($D118,$C$5:$AJ$646,10,)/VLOOKUP($D118,$C$5:$AJ$646,4,))*$F118))</f>
        <v>0</v>
      </c>
      <c r="M118" s="98">
        <f>IF(VLOOKUP($D118,$C$5:$AJ$646,11,)=0,0,((VLOOKUP($D118,$C$5:$AJ$646,11,)/VLOOKUP($D118,$C$5:$AJ$646,4,))*$F118))</f>
        <v>0</v>
      </c>
      <c r="N118" s="98"/>
      <c r="O118" s="98">
        <f>IF(VLOOKUP($D118,$C$5:$AJ$646,13,)=0,0,((VLOOKUP($D118,$C$5:$AJ$646,13,)/VLOOKUP($D118,$C$5:$AJ$646,4,))*$F118))</f>
        <v>0</v>
      </c>
      <c r="P118" s="98">
        <f>IF(VLOOKUP($D118,$C$5:$AJ$646,14,)=0,0,((VLOOKUP($D118,$C$5:$AJ$646,14,)/VLOOKUP($D118,$C$5:$AJ$646,4,))*$F118))</f>
        <v>0</v>
      </c>
      <c r="Q118" s="98">
        <f>IF(VLOOKUP($D118,$C$5:$AJ$646,15,)=0,0,((VLOOKUP($D118,$C$5:$AJ$646,15,)/VLOOKUP($D118,$C$5:$AJ$646,4,))*$F118))</f>
        <v>0</v>
      </c>
      <c r="R118" s="98"/>
      <c r="S118" s="98">
        <f>IF(VLOOKUP($D118,$C$5:$AJ$646,17,)=0,0,((VLOOKUP($D118,$C$5:$AJ$646,17,)/VLOOKUP($D118,$C$5:$AJ$646,4,))*$F118))</f>
        <v>0</v>
      </c>
      <c r="T118" s="98">
        <f>IF(VLOOKUP($D118,$C$5:$AJ$646,18,)=0,0,((VLOOKUP($D118,$C$5:$AJ$646,18,)/VLOOKUP($D118,$C$5:$AJ$646,4,))*$F118))</f>
        <v>0</v>
      </c>
      <c r="U118" s="98">
        <f>IF(VLOOKUP($D118,$C$5:$AJ$646,19,)=0,0,((VLOOKUP($D118,$C$5:$AJ$646,19,)/VLOOKUP($D118,$C$5:$AJ$646,4,))*$F118))</f>
        <v>0</v>
      </c>
      <c r="V118" s="98">
        <f>IF(VLOOKUP($D118,$C$5:$AJ$646,20,)=0,0,((VLOOKUP($D118,$C$5:$AJ$646,20,)/VLOOKUP($D118,$C$5:$AJ$646,4,))*$F118))</f>
        <v>0</v>
      </c>
      <c r="W118" s="98">
        <f>IF(VLOOKUP($D118,$C$5:$AJ$646,21,)=0,0,((VLOOKUP($D118,$C$5:$AJ$646,21,)/VLOOKUP($D118,$C$5:$AJ$646,4,))*$F118))</f>
        <v>0</v>
      </c>
      <c r="X118" s="98">
        <f>IF(VLOOKUP($D118,$C$5:$AJ$646,22,)=0,0,((VLOOKUP($D118,$C$5:$AJ$646,22,)/VLOOKUP($D118,$C$5:$AJ$646,4,))*$F118))</f>
        <v>0</v>
      </c>
      <c r="Y118" s="98">
        <f>IF(VLOOKUP($D118,$C$5:$AJ$646,23,)=0,0,((VLOOKUP($D118,$C$5:$AJ$646,23,)/VLOOKUP($D118,$C$5:$AJ$646,4,))*$F118))</f>
        <v>0</v>
      </c>
      <c r="Z118" s="98">
        <f>IF(VLOOKUP($D118,$C$5:$AJ$646,24,)=0,0,((VLOOKUP($D118,$C$5:$AJ$646,24,)/VLOOKUP($D118,$C$5:$AJ$646,4,))*$F118))</f>
        <v>0</v>
      </c>
      <c r="AA118" s="98">
        <f>IF(VLOOKUP($D118,$C$5:$AJ$646,25,)=0,0,((VLOOKUP($D118,$C$5:$AJ$646,25,)/VLOOKUP($D118,$C$5:$AJ$646,4,))*$F118))</f>
        <v>0</v>
      </c>
      <c r="AB118" s="98">
        <f>IF(VLOOKUP($D118,$C$5:$AJ$646,26,)=0,0,((VLOOKUP($D118,$C$5:$AJ$646,26,)/VLOOKUP($D118,$C$5:$AJ$646,4,))*$F118))</f>
        <v>0</v>
      </c>
      <c r="AC118" s="98">
        <f>IF(VLOOKUP($D118,$C$5:$AJ$646,27,)=0,0,((VLOOKUP($D118,$C$5:$AJ$646,27,)/VLOOKUP($D118,$C$5:$AJ$646,4,))*$F118))</f>
        <v>0</v>
      </c>
      <c r="AD118" s="98">
        <f>IF(VLOOKUP($D118,$C$5:$AJ$646,28,)=0,0,((VLOOKUP($D118,$C$5:$AJ$646,28,)/VLOOKUP($D118,$C$5:$AJ$646,4,))*$F118))</f>
        <v>0</v>
      </c>
      <c r="AE118" s="98"/>
      <c r="AF118" s="98">
        <f>IF(VLOOKUP($D118,$C$5:$AJ$646,30,)=0,0,((VLOOKUP($D118,$C$5:$AJ$646,30,)/VLOOKUP($D118,$C$5:$AJ$646,4,))*$F118))</f>
        <v>0</v>
      </c>
      <c r="AG118" s="98"/>
      <c r="AH118" s="98">
        <f>IF(VLOOKUP($D118,$C$5:$AJ$646,32,)=0,0,((VLOOKUP($D118,$C$5:$AJ$646,32,)/VLOOKUP($D118,$C$5:$AJ$646,4,))*$F118))</f>
        <v>0</v>
      </c>
      <c r="AI118" s="98"/>
      <c r="AJ118" s="98">
        <f>IF(VLOOKUP($D118,$C$5:$AJ$646,34,)=0,0,((VLOOKUP($D118,$C$5:$AJ$646,34,)/VLOOKUP($D118,$C$5:$AJ$646,4,))*$F118))</f>
        <v>0</v>
      </c>
      <c r="AK118" s="98">
        <f>SUM(H118:AJ118)</f>
        <v>415670.69643548201</v>
      </c>
      <c r="AL118" s="95" t="str">
        <f>IF(ABS(AK118-F118)&lt;1,"ok","err")</f>
        <v>ok</v>
      </c>
    </row>
    <row r="119" spans="1:39" x14ac:dyDescent="0.25">
      <c r="Y119" s="94"/>
      <c r="AL119" s="95"/>
    </row>
    <row r="120" spans="1:39" x14ac:dyDescent="0.25">
      <c r="A120" s="15" t="s">
        <v>1252</v>
      </c>
      <c r="Y120" s="94"/>
      <c r="AL120" s="95"/>
    </row>
    <row r="121" spans="1:39" x14ac:dyDescent="0.25">
      <c r="A121" s="94" t="s">
        <v>622</v>
      </c>
      <c r="C121" s="94" t="s">
        <v>623</v>
      </c>
      <c r="D121" s="94" t="s">
        <v>1309</v>
      </c>
      <c r="F121" s="97">
        <v>0</v>
      </c>
      <c r="H121" s="98">
        <f>IF(VLOOKUP($D121,$C$5:$AJ$646,6,)=0,0,((VLOOKUP($D121,$C$5:$AJ$646,6,)/VLOOKUP($D121,$C$5:$AJ$646,4,))*$F121))</f>
        <v>0</v>
      </c>
      <c r="I121" s="98">
        <f>IF(VLOOKUP($D121,$C$5:$AJ$646,7,)=0,0,((VLOOKUP($D121,$C$5:$AJ$646,7,)/VLOOKUP($D121,$C$5:$AJ$646,4,))*$F121))</f>
        <v>0</v>
      </c>
      <c r="J121" s="98">
        <f>IF(VLOOKUP($D121,$C$5:$AJ$646,8,)=0,0,((VLOOKUP($D121,$C$5:$AJ$646,8,)/VLOOKUP($D121,$C$5:$AJ$646,4,))*$F121))</f>
        <v>0</v>
      </c>
      <c r="K121" s="98">
        <f>IF(VLOOKUP($D121,$C$5:$AJ$646,9,)=0,0,((VLOOKUP($D121,$C$5:$AJ$646,9,)/VLOOKUP($D121,$C$5:$AJ$646,4,))*$F121))</f>
        <v>0</v>
      </c>
      <c r="L121" s="98">
        <f>IF(VLOOKUP($D121,$C$5:$AJ$646,10,)=0,0,((VLOOKUP($D121,$C$5:$AJ$646,10,)/VLOOKUP($D121,$C$5:$AJ$646,4,))*$F121))</f>
        <v>0</v>
      </c>
      <c r="M121" s="98">
        <f>IF(VLOOKUP($D121,$C$5:$AJ$646,11,)=0,0,((VLOOKUP($D121,$C$5:$AJ$646,11,)/VLOOKUP($D121,$C$5:$AJ$646,4,))*$F121))</f>
        <v>0</v>
      </c>
      <c r="N121" s="98"/>
      <c r="O121" s="98">
        <f>IF(VLOOKUP($D121,$C$5:$AJ$646,13,)=0,0,((VLOOKUP($D121,$C$5:$AJ$646,13,)/VLOOKUP($D121,$C$5:$AJ$646,4,))*$F121))</f>
        <v>0</v>
      </c>
      <c r="P121" s="98">
        <f>IF(VLOOKUP($D121,$C$5:$AJ$646,14,)=0,0,((VLOOKUP($D121,$C$5:$AJ$646,14,)/VLOOKUP($D121,$C$5:$AJ$646,4,))*$F121))</f>
        <v>0</v>
      </c>
      <c r="Q121" s="98">
        <f>IF(VLOOKUP($D121,$C$5:$AJ$646,15,)=0,0,((VLOOKUP($D121,$C$5:$AJ$646,15,)/VLOOKUP($D121,$C$5:$AJ$646,4,))*$F121))</f>
        <v>0</v>
      </c>
      <c r="R121" s="98"/>
      <c r="S121" s="98">
        <f>IF(VLOOKUP($D121,$C$5:$AJ$646,17,)=0,0,((VLOOKUP($D121,$C$5:$AJ$646,17,)/VLOOKUP($D121,$C$5:$AJ$646,4,))*$F121))</f>
        <v>0</v>
      </c>
      <c r="T121" s="98">
        <f>IF(VLOOKUP($D121,$C$5:$AJ$646,18,)=0,0,((VLOOKUP($D121,$C$5:$AJ$646,18,)/VLOOKUP($D121,$C$5:$AJ$646,4,))*$F121))</f>
        <v>0</v>
      </c>
      <c r="U121" s="98">
        <f>IF(VLOOKUP($D121,$C$5:$AJ$646,19,)=0,0,((VLOOKUP($D121,$C$5:$AJ$646,19,)/VLOOKUP($D121,$C$5:$AJ$646,4,))*$F121))</f>
        <v>0</v>
      </c>
      <c r="V121" s="98">
        <f>IF(VLOOKUP($D121,$C$5:$AJ$646,20,)=0,0,((VLOOKUP($D121,$C$5:$AJ$646,20,)/VLOOKUP($D121,$C$5:$AJ$646,4,))*$F121))</f>
        <v>0</v>
      </c>
      <c r="W121" s="98">
        <f>IF(VLOOKUP($D121,$C$5:$AJ$646,21,)=0,0,((VLOOKUP($D121,$C$5:$AJ$646,21,)/VLOOKUP($D121,$C$5:$AJ$646,4,))*$F121))</f>
        <v>0</v>
      </c>
      <c r="X121" s="98">
        <f>IF(VLOOKUP($D121,$C$5:$AJ$646,22,)=0,0,((VLOOKUP($D121,$C$5:$AJ$646,22,)/VLOOKUP($D121,$C$5:$AJ$646,4,))*$F121))</f>
        <v>0</v>
      </c>
      <c r="Y121" s="98">
        <f>IF(VLOOKUP($D121,$C$5:$AJ$646,23,)=0,0,((VLOOKUP($D121,$C$5:$AJ$646,23,)/VLOOKUP($D121,$C$5:$AJ$646,4,))*$F121))</f>
        <v>0</v>
      </c>
      <c r="Z121" s="98">
        <f>IF(VLOOKUP($D121,$C$5:$AJ$646,24,)=0,0,((VLOOKUP($D121,$C$5:$AJ$646,24,)/VLOOKUP($D121,$C$5:$AJ$646,4,))*$F121))</f>
        <v>0</v>
      </c>
      <c r="AA121" s="98">
        <f>IF(VLOOKUP($D121,$C$5:$AJ$646,25,)=0,0,((VLOOKUP($D121,$C$5:$AJ$646,25,)/VLOOKUP($D121,$C$5:$AJ$646,4,))*$F121))</f>
        <v>0</v>
      </c>
      <c r="AB121" s="98">
        <f>IF(VLOOKUP($D121,$C$5:$AJ$646,26,)=0,0,((VLOOKUP($D121,$C$5:$AJ$646,26,)/VLOOKUP($D121,$C$5:$AJ$646,4,))*$F121))</f>
        <v>0</v>
      </c>
      <c r="AC121" s="98">
        <f>IF(VLOOKUP($D121,$C$5:$AJ$646,27,)=0,0,((VLOOKUP($D121,$C$5:$AJ$646,27,)/VLOOKUP($D121,$C$5:$AJ$646,4,))*$F121))</f>
        <v>0</v>
      </c>
      <c r="AD121" s="98">
        <f>IF(VLOOKUP($D121,$C$5:$AJ$646,28,)=0,0,((VLOOKUP($D121,$C$5:$AJ$646,28,)/VLOOKUP($D121,$C$5:$AJ$646,4,))*$F121))</f>
        <v>0</v>
      </c>
      <c r="AE121" s="98"/>
      <c r="AF121" s="98">
        <f>IF(VLOOKUP($D121,$C$5:$AJ$646,30,)=0,0,((VLOOKUP($D121,$C$5:$AJ$646,30,)/VLOOKUP($D121,$C$5:$AJ$646,4,))*$F121))</f>
        <v>0</v>
      </c>
      <c r="AG121" s="98"/>
      <c r="AH121" s="98">
        <f>IF(VLOOKUP($D121,$C$5:$AJ$646,32,)=0,0,((VLOOKUP($D121,$C$5:$AJ$646,32,)/VLOOKUP($D121,$C$5:$AJ$646,4,))*$F121))</f>
        <v>0</v>
      </c>
      <c r="AI121" s="98"/>
      <c r="AJ121" s="98">
        <f>IF(VLOOKUP($D121,$C$5:$AJ$646,34,)=0,0,((VLOOKUP($D121,$C$5:$AJ$646,34,)/VLOOKUP($D121,$C$5:$AJ$646,4,))*$F121))</f>
        <v>0</v>
      </c>
      <c r="AK121" s="98">
        <f>SUM(H121:AJ121)</f>
        <v>0</v>
      </c>
      <c r="AL121" s="95" t="str">
        <f>IF(ABS(AK121-F121)&lt;1,"ok","err")</f>
        <v>ok</v>
      </c>
    </row>
    <row r="122" spans="1:39" ht="15.75" x14ac:dyDescent="0.25">
      <c r="A122" s="30" t="s">
        <v>859</v>
      </c>
      <c r="F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  <c r="AH122" s="98"/>
      <c r="AI122" s="98"/>
      <c r="AJ122" s="98"/>
      <c r="AK122" s="98"/>
      <c r="AL122" s="95"/>
    </row>
    <row r="123" spans="1:39" ht="15.75" x14ac:dyDescent="0.25">
      <c r="A123" s="30" t="s">
        <v>860</v>
      </c>
      <c r="C123" s="94" t="s">
        <v>2221</v>
      </c>
      <c r="D123" s="94" t="s">
        <v>882</v>
      </c>
      <c r="F123" s="98">
        <f>'Jurisdictional Study'!F861</f>
        <v>294093012.97853291</v>
      </c>
      <c r="H123" s="98">
        <f>IF(VLOOKUP($D123,$C$5:$AJ$646,6,)=0,0,((VLOOKUP($D123,$C$5:$AJ$646,6,)/VLOOKUP($D123,$C$5:$AJ$646,4,))*$F123))</f>
        <v>101034618.57951079</v>
      </c>
      <c r="I123" s="98">
        <f>IF(VLOOKUP($D123,$C$5:$AJ$646,7,)=0,0,((VLOOKUP($D123,$C$5:$AJ$646,7,)/VLOOKUP($D123,$C$5:$AJ$646,4,))*$F123))</f>
        <v>95243086.777505651</v>
      </c>
      <c r="J123" s="98">
        <f>IF(VLOOKUP($D123,$C$5:$AJ$646,8,)=0,0,((VLOOKUP($D123,$C$5:$AJ$646,8,)/VLOOKUP($D123,$C$5:$AJ$646,4,))*$F123))</f>
        <v>97815307.621516466</v>
      </c>
      <c r="K123" s="98">
        <f>IF(VLOOKUP($D123,$C$5:$AJ$646,9,)=0,0,((VLOOKUP($D123,$C$5:$AJ$646,9,)/VLOOKUP($D123,$C$5:$AJ$646,4,))*$F123))</f>
        <v>0</v>
      </c>
      <c r="L123" s="98">
        <f>IF(VLOOKUP($D123,$C$5:$AJ$646,10,)=0,0,((VLOOKUP($D123,$C$5:$AJ$646,10,)/VLOOKUP($D123,$C$5:$AJ$646,4,))*$F123))</f>
        <v>0</v>
      </c>
      <c r="M123" s="98">
        <f>IF(VLOOKUP($D123,$C$5:$AJ$646,11,)=0,0,((VLOOKUP($D123,$C$5:$AJ$646,11,)/VLOOKUP($D123,$C$5:$AJ$646,4,))*$F123))</f>
        <v>0</v>
      </c>
      <c r="N123" s="98"/>
      <c r="O123" s="98">
        <f>IF(VLOOKUP($D123,$C$5:$AJ$646,13,)=0,0,((VLOOKUP($D123,$C$5:$AJ$646,13,)/VLOOKUP($D123,$C$5:$AJ$646,4,))*$F123))</f>
        <v>0</v>
      </c>
      <c r="P123" s="98">
        <f>IF(VLOOKUP($D123,$C$5:$AJ$646,14,)=0,0,((VLOOKUP($D123,$C$5:$AJ$646,14,)/VLOOKUP($D123,$C$5:$AJ$646,4,))*$F123))</f>
        <v>0</v>
      </c>
      <c r="Q123" s="98">
        <f>IF(VLOOKUP($D123,$C$5:$AJ$646,15,)=0,0,((VLOOKUP($D123,$C$5:$AJ$646,15,)/VLOOKUP($D123,$C$5:$AJ$646,4,))*$F123))</f>
        <v>0</v>
      </c>
      <c r="R123" s="98"/>
      <c r="S123" s="98">
        <f>IF(VLOOKUP($D123,$C$5:$AJ$646,17,)=0,0,((VLOOKUP($D123,$C$5:$AJ$646,17,)/VLOOKUP($D123,$C$5:$AJ$646,4,))*$F123))</f>
        <v>0</v>
      </c>
      <c r="T123" s="98">
        <f>IF(VLOOKUP($D123,$C$5:$AJ$646,18,)=0,0,((VLOOKUP($D123,$C$5:$AJ$646,18,)/VLOOKUP($D123,$C$5:$AJ$646,4,))*$F123))</f>
        <v>0</v>
      </c>
      <c r="U123" s="98">
        <f>IF(VLOOKUP($D123,$C$5:$AJ$646,19,)=0,0,((VLOOKUP($D123,$C$5:$AJ$646,19,)/VLOOKUP($D123,$C$5:$AJ$646,4,))*$F123))</f>
        <v>0</v>
      </c>
      <c r="V123" s="98">
        <f>IF(VLOOKUP($D123,$C$5:$AJ$646,20,)=0,0,((VLOOKUP($D123,$C$5:$AJ$646,20,)/VLOOKUP($D123,$C$5:$AJ$646,4,))*$F123))</f>
        <v>0</v>
      </c>
      <c r="W123" s="98">
        <f>IF(VLOOKUP($D123,$C$5:$AJ$646,21,)=0,0,((VLOOKUP($D123,$C$5:$AJ$646,21,)/VLOOKUP($D123,$C$5:$AJ$646,4,))*$F123))</f>
        <v>0</v>
      </c>
      <c r="X123" s="98">
        <f>IF(VLOOKUP($D123,$C$5:$AJ$646,22,)=0,0,((VLOOKUP($D123,$C$5:$AJ$646,22,)/VLOOKUP($D123,$C$5:$AJ$646,4,))*$F123))</f>
        <v>0</v>
      </c>
      <c r="Y123" s="98">
        <f>IF(VLOOKUP($D123,$C$5:$AJ$646,23,)=0,0,((VLOOKUP($D123,$C$5:$AJ$646,23,)/VLOOKUP($D123,$C$5:$AJ$646,4,))*$F123))</f>
        <v>0</v>
      </c>
      <c r="Z123" s="98">
        <f>IF(VLOOKUP($D123,$C$5:$AJ$646,24,)=0,0,((VLOOKUP($D123,$C$5:$AJ$646,24,)/VLOOKUP($D123,$C$5:$AJ$646,4,))*$F123))</f>
        <v>0</v>
      </c>
      <c r="AA123" s="98">
        <f>IF(VLOOKUP($D123,$C$5:$AJ$646,25,)=0,0,((VLOOKUP($D123,$C$5:$AJ$646,25,)/VLOOKUP($D123,$C$5:$AJ$646,4,))*$F123))</f>
        <v>0</v>
      </c>
      <c r="AB123" s="98">
        <f>IF(VLOOKUP($D123,$C$5:$AJ$646,26,)=0,0,((VLOOKUP($D123,$C$5:$AJ$646,26,)/VLOOKUP($D123,$C$5:$AJ$646,4,))*$F123))</f>
        <v>0</v>
      </c>
      <c r="AC123" s="98">
        <f>IF(VLOOKUP($D123,$C$5:$AJ$646,27,)=0,0,((VLOOKUP($D123,$C$5:$AJ$646,27,)/VLOOKUP($D123,$C$5:$AJ$646,4,))*$F123))</f>
        <v>0</v>
      </c>
      <c r="AD123" s="98">
        <f>IF(VLOOKUP($D123,$C$5:$AJ$646,28,)=0,0,((VLOOKUP($D123,$C$5:$AJ$646,28,)/VLOOKUP($D123,$C$5:$AJ$646,4,))*$F123))</f>
        <v>0</v>
      </c>
      <c r="AE123" s="98"/>
      <c r="AF123" s="98">
        <f>IF(VLOOKUP($D123,$C$5:$AJ$646,30,)=0,0,((VLOOKUP($D123,$C$5:$AJ$646,30,)/VLOOKUP($D123,$C$5:$AJ$646,4,))*$F123))</f>
        <v>0</v>
      </c>
      <c r="AG123" s="98"/>
      <c r="AH123" s="98">
        <f>IF(VLOOKUP($D123,$C$5:$AJ$646,32,)=0,0,((VLOOKUP($D123,$C$5:$AJ$646,32,)/VLOOKUP($D123,$C$5:$AJ$646,4,))*$F123))</f>
        <v>0</v>
      </c>
      <c r="AI123" s="98"/>
      <c r="AJ123" s="98">
        <f>IF(VLOOKUP($D123,$C$5:$AJ$646,34,)=0,0,((VLOOKUP($D123,$C$5:$AJ$646,34,)/VLOOKUP($D123,$C$5:$AJ$646,4,))*$F123))</f>
        <v>0</v>
      </c>
      <c r="AK123" s="98">
        <f>SUM(H123:AJ123)</f>
        <v>294093012.97853291</v>
      </c>
      <c r="AL123" s="95" t="str">
        <f t="shared" ref="AL123:AL128" si="77">IF(ABS(AK123-F123)&lt;1,"ok","err")</f>
        <v>ok</v>
      </c>
    </row>
    <row r="124" spans="1:39" ht="15.75" x14ac:dyDescent="0.25">
      <c r="A124" s="30" t="s">
        <v>861</v>
      </c>
      <c r="C124" s="94" t="s">
        <v>2222</v>
      </c>
      <c r="D124" s="94" t="s">
        <v>585</v>
      </c>
      <c r="F124" s="98">
        <f>'Jurisdictional Study'!F869</f>
        <v>33496411.580380417</v>
      </c>
      <c r="H124" s="98">
        <f>IF(VLOOKUP($D124,$C$5:$AJ$646,6,)=0,0,((VLOOKUP($D124,$C$5:$AJ$646,6,)/VLOOKUP($D124,$C$5:$AJ$646,4,))*$F124))</f>
        <v>0</v>
      </c>
      <c r="I124" s="98">
        <f>IF(VLOOKUP($D124,$C$5:$AJ$646,7,)=0,0,((VLOOKUP($D124,$C$5:$AJ$646,7,)/VLOOKUP($D124,$C$5:$AJ$646,4,))*$F124))</f>
        <v>0</v>
      </c>
      <c r="J124" s="98">
        <f>IF(VLOOKUP($D124,$C$5:$AJ$646,8,)=0,0,((VLOOKUP($D124,$C$5:$AJ$646,8,)/VLOOKUP($D124,$C$5:$AJ$646,4,))*$F124))</f>
        <v>0</v>
      </c>
      <c r="K124" s="98">
        <f>IF(VLOOKUP($D124,$C$5:$AJ$646,9,)=0,0,((VLOOKUP($D124,$C$5:$AJ$646,9,)/VLOOKUP($D124,$C$5:$AJ$646,4,))*$F124))</f>
        <v>0</v>
      </c>
      <c r="L124" s="98">
        <f>IF(VLOOKUP($D124,$C$5:$AJ$646,10,)=0,0,((VLOOKUP($D124,$C$5:$AJ$646,10,)/VLOOKUP($D124,$C$5:$AJ$646,4,))*$F124))</f>
        <v>0</v>
      </c>
      <c r="M124" s="98">
        <f>IF(VLOOKUP($D124,$C$5:$AJ$646,11,)=0,0,((VLOOKUP($D124,$C$5:$AJ$646,11,)/VLOOKUP($D124,$C$5:$AJ$646,4,))*$F124))</f>
        <v>0</v>
      </c>
      <c r="N124" s="98"/>
      <c r="O124" s="98">
        <f>IF(VLOOKUP($D124,$C$5:$AJ$646,13,)=0,0,((VLOOKUP($D124,$C$5:$AJ$646,13,)/VLOOKUP($D124,$C$5:$AJ$646,4,))*$F124))</f>
        <v>11507574.197463432</v>
      </c>
      <c r="P124" s="98">
        <f>IF(VLOOKUP($D124,$C$5:$AJ$646,14,)=0,0,((VLOOKUP($D124,$C$5:$AJ$646,14,)/VLOOKUP($D124,$C$5:$AJ$646,4,))*$F124))</f>
        <v>10847934.136803484</v>
      </c>
      <c r="Q124" s="98">
        <f>IF(VLOOKUP($D124,$C$5:$AJ$646,15,)=0,0,((VLOOKUP($D124,$C$5:$AJ$646,15,)/VLOOKUP($D124,$C$5:$AJ$646,4,))*$F124))</f>
        <v>11140903.246113501</v>
      </c>
      <c r="R124" s="98"/>
      <c r="S124" s="98">
        <f>IF(VLOOKUP($D124,$C$5:$AJ$646,17,)=0,0,((VLOOKUP($D124,$C$5:$AJ$646,17,)/VLOOKUP($D124,$C$5:$AJ$646,4,))*$F124))</f>
        <v>0</v>
      </c>
      <c r="T124" s="98">
        <f>IF(VLOOKUP($D124,$C$5:$AJ$646,18,)=0,0,((VLOOKUP($D124,$C$5:$AJ$646,18,)/VLOOKUP($D124,$C$5:$AJ$646,4,))*$F124))</f>
        <v>0</v>
      </c>
      <c r="U124" s="98">
        <f>IF(VLOOKUP($D124,$C$5:$AJ$646,19,)=0,0,((VLOOKUP($D124,$C$5:$AJ$646,19,)/VLOOKUP($D124,$C$5:$AJ$646,4,))*$F124))</f>
        <v>0</v>
      </c>
      <c r="V124" s="98">
        <f>IF(VLOOKUP($D124,$C$5:$AJ$646,20,)=0,0,((VLOOKUP($D124,$C$5:$AJ$646,20,)/VLOOKUP($D124,$C$5:$AJ$646,4,))*$F124))</f>
        <v>0</v>
      </c>
      <c r="W124" s="98">
        <f>IF(VLOOKUP($D124,$C$5:$AJ$646,21,)=0,0,((VLOOKUP($D124,$C$5:$AJ$646,21,)/VLOOKUP($D124,$C$5:$AJ$646,4,))*$F124))</f>
        <v>0</v>
      </c>
      <c r="X124" s="98">
        <f>IF(VLOOKUP($D124,$C$5:$AJ$646,22,)=0,0,((VLOOKUP($D124,$C$5:$AJ$646,22,)/VLOOKUP($D124,$C$5:$AJ$646,4,))*$F124))</f>
        <v>0</v>
      </c>
      <c r="Y124" s="98">
        <f>IF(VLOOKUP($D124,$C$5:$AJ$646,23,)=0,0,((VLOOKUP($D124,$C$5:$AJ$646,23,)/VLOOKUP($D124,$C$5:$AJ$646,4,))*$F124))</f>
        <v>0</v>
      </c>
      <c r="Z124" s="98">
        <f>IF(VLOOKUP($D124,$C$5:$AJ$646,24,)=0,0,((VLOOKUP($D124,$C$5:$AJ$646,24,)/VLOOKUP($D124,$C$5:$AJ$646,4,))*$F124))</f>
        <v>0</v>
      </c>
      <c r="AA124" s="98">
        <f>IF(VLOOKUP($D124,$C$5:$AJ$646,25,)=0,0,((VLOOKUP($D124,$C$5:$AJ$646,25,)/VLOOKUP($D124,$C$5:$AJ$646,4,))*$F124))</f>
        <v>0</v>
      </c>
      <c r="AB124" s="98">
        <f>IF(VLOOKUP($D124,$C$5:$AJ$646,26,)=0,0,((VLOOKUP($D124,$C$5:$AJ$646,26,)/VLOOKUP($D124,$C$5:$AJ$646,4,))*$F124))</f>
        <v>0</v>
      </c>
      <c r="AC124" s="98">
        <f>IF(VLOOKUP($D124,$C$5:$AJ$646,27,)=0,0,((VLOOKUP($D124,$C$5:$AJ$646,27,)/VLOOKUP($D124,$C$5:$AJ$646,4,))*$F124))</f>
        <v>0</v>
      </c>
      <c r="AD124" s="98">
        <f>IF(VLOOKUP($D124,$C$5:$AJ$646,28,)=0,0,((VLOOKUP($D124,$C$5:$AJ$646,28,)/VLOOKUP($D124,$C$5:$AJ$646,4,))*$F124))</f>
        <v>0</v>
      </c>
      <c r="AE124" s="98"/>
      <c r="AF124" s="98">
        <f>IF(VLOOKUP($D124,$C$5:$AJ$646,30,)=0,0,((VLOOKUP($D124,$C$5:$AJ$646,30,)/VLOOKUP($D124,$C$5:$AJ$646,4,))*$F124))</f>
        <v>0</v>
      </c>
      <c r="AG124" s="98"/>
      <c r="AH124" s="98">
        <f>IF(VLOOKUP($D124,$C$5:$AJ$646,32,)=0,0,((VLOOKUP($D124,$C$5:$AJ$646,32,)/VLOOKUP($D124,$C$5:$AJ$646,4,))*$F124))</f>
        <v>0</v>
      </c>
      <c r="AI124" s="98"/>
      <c r="AJ124" s="98">
        <f>IF(VLOOKUP($D124,$C$5:$AJ$646,34,)=0,0,((VLOOKUP($D124,$C$5:$AJ$646,34,)/VLOOKUP($D124,$C$5:$AJ$646,4,))*$F124))</f>
        <v>0</v>
      </c>
      <c r="AK124" s="98">
        <f>SUM(H124:AJ124)</f>
        <v>33496411.580380417</v>
      </c>
      <c r="AL124" s="95" t="str">
        <f t="shared" si="77"/>
        <v>ok</v>
      </c>
    </row>
    <row r="125" spans="1:39" ht="15.75" x14ac:dyDescent="0.25">
      <c r="A125" s="30" t="s">
        <v>862</v>
      </c>
      <c r="C125" s="94" t="s">
        <v>857</v>
      </c>
      <c r="D125" s="94" t="s">
        <v>129</v>
      </c>
      <c r="F125" s="98">
        <f>'Jurisdictional Study'!F873</f>
        <v>102688559.46099892</v>
      </c>
      <c r="H125" s="98">
        <f>IF(VLOOKUP($D125,$C$5:$AJ$646,6,)=0,0,((VLOOKUP($D125,$C$5:$AJ$646,6,)/VLOOKUP($D125,$C$5:$AJ$646,4,))*$F125))</f>
        <v>0</v>
      </c>
      <c r="I125" s="98">
        <f>IF(VLOOKUP($D125,$C$5:$AJ$646,7,)=0,0,((VLOOKUP($D125,$C$5:$AJ$646,7,)/VLOOKUP($D125,$C$5:$AJ$646,4,))*$F125))</f>
        <v>0</v>
      </c>
      <c r="J125" s="98">
        <f>IF(VLOOKUP($D125,$C$5:$AJ$646,8,)=0,0,((VLOOKUP($D125,$C$5:$AJ$646,8,)/VLOOKUP($D125,$C$5:$AJ$646,4,))*$F125))</f>
        <v>0</v>
      </c>
      <c r="K125" s="98">
        <f>IF(VLOOKUP($D125,$C$5:$AJ$646,9,)=0,0,((VLOOKUP($D125,$C$5:$AJ$646,9,)/VLOOKUP($D125,$C$5:$AJ$646,4,))*$F125))</f>
        <v>0</v>
      </c>
      <c r="L125" s="98">
        <f>IF(VLOOKUP($D125,$C$5:$AJ$646,10,)=0,0,((VLOOKUP($D125,$C$5:$AJ$646,10,)/VLOOKUP($D125,$C$5:$AJ$646,4,))*$F125))</f>
        <v>0</v>
      </c>
      <c r="M125" s="98">
        <f>IF(VLOOKUP($D125,$C$5:$AJ$646,11,)=0,0,((VLOOKUP($D125,$C$5:$AJ$646,11,)/VLOOKUP($D125,$C$5:$AJ$646,4,))*$F125))</f>
        <v>0</v>
      </c>
      <c r="N125" s="98"/>
      <c r="O125" s="98">
        <f>IF(VLOOKUP($D125,$C$5:$AJ$646,13,)=0,0,((VLOOKUP($D125,$C$5:$AJ$646,13,)/VLOOKUP($D125,$C$5:$AJ$646,4,))*$F125))</f>
        <v>0</v>
      </c>
      <c r="P125" s="98">
        <f>IF(VLOOKUP($D125,$C$5:$AJ$646,14,)=0,0,((VLOOKUP($D125,$C$5:$AJ$646,14,)/VLOOKUP($D125,$C$5:$AJ$646,4,))*$F125))</f>
        <v>0</v>
      </c>
      <c r="Q125" s="98">
        <f>IF(VLOOKUP($D125,$C$5:$AJ$646,15,)=0,0,((VLOOKUP($D125,$C$5:$AJ$646,15,)/VLOOKUP($D125,$C$5:$AJ$646,4,))*$F125))</f>
        <v>0</v>
      </c>
      <c r="R125" s="98"/>
      <c r="S125" s="98">
        <f>IF(VLOOKUP($D125,$C$5:$AJ$646,17,)=0,0,((VLOOKUP($D125,$C$5:$AJ$646,17,)/VLOOKUP($D125,$C$5:$AJ$646,4,))*$F125))</f>
        <v>0</v>
      </c>
      <c r="T125" s="98">
        <f>IF(VLOOKUP($D125,$C$5:$AJ$646,18,)=0,0,((VLOOKUP($D125,$C$5:$AJ$646,18,)/VLOOKUP($D125,$C$5:$AJ$646,4,))*$F125))</f>
        <v>11155213.902085617</v>
      </c>
      <c r="U125" s="98">
        <f>IF(VLOOKUP($D125,$C$5:$AJ$646,19,)=0,0,((VLOOKUP($D125,$C$5:$AJ$646,19,)/VLOOKUP($D125,$C$5:$AJ$646,4,))*$F125))</f>
        <v>0</v>
      </c>
      <c r="V125" s="98">
        <f>IF(VLOOKUP($D125,$C$5:$AJ$646,20,)=0,0,((VLOOKUP($D125,$C$5:$AJ$646,20,)/VLOOKUP($D125,$C$5:$AJ$646,4,))*$F125))</f>
        <v>18067384.095099673</v>
      </c>
      <c r="W125" s="98">
        <f>IF(VLOOKUP($D125,$C$5:$AJ$646,21,)=0,0,((VLOOKUP($D125,$C$5:$AJ$646,21,)/VLOOKUP($D125,$C$5:$AJ$646,4,))*$F125))</f>
        <v>25859858.805512134</v>
      </c>
      <c r="X125" s="98">
        <f>IF(VLOOKUP($D125,$C$5:$AJ$646,22,)=0,0,((VLOOKUP($D125,$C$5:$AJ$646,22,)/VLOOKUP($D125,$C$5:$AJ$646,4,))*$F125))</f>
        <v>3188361.8991352362</v>
      </c>
      <c r="Y125" s="98">
        <f>IF(VLOOKUP($D125,$C$5:$AJ$646,23,)=0,0,((VLOOKUP($D125,$C$5:$AJ$646,23,)/VLOOKUP($D125,$C$5:$AJ$646,4,))*$F125))</f>
        <v>4563504.4950903775</v>
      </c>
      <c r="Z125" s="98">
        <f>IF(VLOOKUP($D125,$C$5:$AJ$646,24,)=0,0,((VLOOKUP($D125,$C$5:$AJ$646,24,)/VLOOKUP($D125,$C$5:$AJ$646,4,))*$F125))</f>
        <v>11222200.301587865</v>
      </c>
      <c r="AA125" s="98">
        <f>IF(VLOOKUP($D125,$C$5:$AJ$646,25,)=0,0,((VLOOKUP($D125,$C$5:$AJ$646,25,)/VLOOKUP($D125,$C$5:$AJ$646,4,))*$F125))</f>
        <v>9602071.9225499406</v>
      </c>
      <c r="AB125" s="98">
        <f>IF(VLOOKUP($D125,$C$5:$AJ$646,26,)=0,0,((VLOOKUP($D125,$C$5:$AJ$646,26,)/VLOOKUP($D125,$C$5:$AJ$646,4,))*$F125))</f>
        <v>6436890.7731245942</v>
      </c>
      <c r="AC125" s="98">
        <f>IF(VLOOKUP($D125,$C$5:$AJ$646,27,)=0,0,((VLOOKUP($D125,$C$5:$AJ$646,27,)/VLOOKUP($D125,$C$5:$AJ$646,4,))*$F125))</f>
        <v>5101042.901884445</v>
      </c>
      <c r="AD125" s="98">
        <f>IF(VLOOKUP($D125,$C$5:$AJ$646,28,)=0,0,((VLOOKUP($D125,$C$5:$AJ$646,28,)/VLOOKUP($D125,$C$5:$AJ$646,4,))*$F125))</f>
        <v>7492030.3649290064</v>
      </c>
      <c r="AE125" s="98"/>
      <c r="AF125" s="98">
        <f>IF(VLOOKUP($D125,$C$5:$AJ$646,30,)=0,0,((VLOOKUP($D125,$C$5:$AJ$646,30,)/VLOOKUP($D125,$C$5:$AJ$646,4,))*$F125))</f>
        <v>0</v>
      </c>
      <c r="AG125" s="98"/>
      <c r="AH125" s="98">
        <f>IF(VLOOKUP($D125,$C$5:$AJ$646,32,)=0,0,((VLOOKUP($D125,$C$5:$AJ$646,32,)/VLOOKUP($D125,$C$5:$AJ$646,4,))*$F125))</f>
        <v>0</v>
      </c>
      <c r="AI125" s="98"/>
      <c r="AJ125" s="98">
        <f>IF(VLOOKUP($D125,$C$5:$AJ$646,34,)=0,0,((VLOOKUP($D125,$C$5:$AJ$646,34,)/VLOOKUP($D125,$C$5:$AJ$646,4,))*$F125))</f>
        <v>0</v>
      </c>
      <c r="AK125" s="98">
        <f>SUM(H125:AJ125)</f>
        <v>102688559.46099888</v>
      </c>
      <c r="AL125" s="95" t="str">
        <f t="shared" si="77"/>
        <v>ok</v>
      </c>
    </row>
    <row r="126" spans="1:39" ht="15.75" x14ac:dyDescent="0.25">
      <c r="A126" s="30" t="s">
        <v>863</v>
      </c>
      <c r="C126" s="94" t="s">
        <v>858</v>
      </c>
      <c r="D126" s="94" t="s">
        <v>586</v>
      </c>
      <c r="F126" s="98">
        <f>'Jurisdictional Study'!F875</f>
        <v>9365572.5991982259</v>
      </c>
      <c r="H126" s="98">
        <f>IF(VLOOKUP($D126,$C$5:$AJ$646,6,)=0,0,((VLOOKUP($D126,$C$5:$AJ$646,6,)/VLOOKUP($D126,$C$5:$AJ$646,4,))*$F126))</f>
        <v>2110139.8287804238</v>
      </c>
      <c r="I126" s="98">
        <f>IF(VLOOKUP($D126,$C$5:$AJ$646,7,)=0,0,((VLOOKUP($D126,$C$5:$AJ$646,7,)/VLOOKUP($D126,$C$5:$AJ$646,4,))*$F126))</f>
        <v>1989181.8631159915</v>
      </c>
      <c r="J126" s="98">
        <f>IF(VLOOKUP($D126,$C$5:$AJ$646,8,)=0,0,((VLOOKUP($D126,$C$5:$AJ$646,8,)/VLOOKUP($D126,$C$5:$AJ$646,4,))*$F126))</f>
        <v>2042903.5055359602</v>
      </c>
      <c r="K126" s="98">
        <f>IF(VLOOKUP($D126,$C$5:$AJ$646,9,)=0,0,((VLOOKUP($D126,$C$5:$AJ$646,9,)/VLOOKUP($D126,$C$5:$AJ$646,4,))*$F126))</f>
        <v>0</v>
      </c>
      <c r="L126" s="98">
        <f>IF(VLOOKUP($D126,$C$5:$AJ$646,10,)=0,0,((VLOOKUP($D126,$C$5:$AJ$646,10,)/VLOOKUP($D126,$C$5:$AJ$646,4,))*$F126))</f>
        <v>0</v>
      </c>
      <c r="M126" s="98">
        <f>IF(VLOOKUP($D126,$C$5:$AJ$646,11,)=0,0,((VLOOKUP($D126,$C$5:$AJ$646,11,)/VLOOKUP($D126,$C$5:$AJ$646,4,))*$F126))</f>
        <v>0</v>
      </c>
      <c r="N126" s="98"/>
      <c r="O126" s="98">
        <f>IF(VLOOKUP($D126,$C$5:$AJ$646,13,)=0,0,((VLOOKUP($D126,$C$5:$AJ$646,13,)/VLOOKUP($D126,$C$5:$AJ$646,4,))*$F126))</f>
        <v>315021.66913213563</v>
      </c>
      <c r="P126" s="98">
        <f>IF(VLOOKUP($D126,$C$5:$AJ$646,14,)=0,0,((VLOOKUP($D126,$C$5:$AJ$646,14,)/VLOOKUP($D126,$C$5:$AJ$646,4,))*$F126))</f>
        <v>296963.91783114261</v>
      </c>
      <c r="Q126" s="98">
        <f>IF(VLOOKUP($D126,$C$5:$AJ$646,15,)=0,0,((VLOOKUP($D126,$C$5:$AJ$646,15,)/VLOOKUP($D126,$C$5:$AJ$646,4,))*$F126))</f>
        <v>304983.99367295986</v>
      </c>
      <c r="R126" s="98"/>
      <c r="S126" s="98">
        <f>IF(VLOOKUP($D126,$C$5:$AJ$646,17,)=0,0,((VLOOKUP($D126,$C$5:$AJ$646,17,)/VLOOKUP($D126,$C$5:$AJ$646,4,))*$F126))</f>
        <v>0</v>
      </c>
      <c r="T126" s="98">
        <f>IF(VLOOKUP($D126,$C$5:$AJ$646,18,)=0,0,((VLOOKUP($D126,$C$5:$AJ$646,18,)/VLOOKUP($D126,$C$5:$AJ$646,4,))*$F126))</f>
        <v>250545.31944718273</v>
      </c>
      <c r="U126" s="98">
        <f>IF(VLOOKUP($D126,$C$5:$AJ$646,19,)=0,0,((VLOOKUP($D126,$C$5:$AJ$646,19,)/VLOOKUP($D126,$C$5:$AJ$646,4,))*$F126))</f>
        <v>0</v>
      </c>
      <c r="V126" s="98">
        <f>IF(VLOOKUP($D126,$C$5:$AJ$646,20,)=0,0,((VLOOKUP($D126,$C$5:$AJ$646,20,)/VLOOKUP($D126,$C$5:$AJ$646,4,))*$F126))</f>
        <v>405792.1756960096</v>
      </c>
      <c r="W126" s="98">
        <f>IF(VLOOKUP($D126,$C$5:$AJ$646,21,)=0,0,((VLOOKUP($D126,$C$5:$AJ$646,21,)/VLOOKUP($D126,$C$5:$AJ$646,4,))*$F126))</f>
        <v>580810.60947425943</v>
      </c>
      <c r="X126" s="98">
        <f>IF(VLOOKUP($D126,$C$5:$AJ$646,22,)=0,0,((VLOOKUP($D126,$C$5:$AJ$646,22,)/VLOOKUP($D126,$C$5:$AJ$646,4,))*$F126))</f>
        <v>71610.383946354632</v>
      </c>
      <c r="Y126" s="98">
        <f>IF(VLOOKUP($D126,$C$5:$AJ$646,23,)=0,0,((VLOOKUP($D126,$C$5:$AJ$646,23,)/VLOOKUP($D126,$C$5:$AJ$646,4,))*$F126))</f>
        <v>102495.98990722226</v>
      </c>
      <c r="Z126" s="98">
        <f>IF(VLOOKUP($D126,$C$5:$AJ$646,24,)=0,0,((VLOOKUP($D126,$C$5:$AJ$646,24,)/VLOOKUP($D126,$C$5:$AJ$646,4,))*$F126))</f>
        <v>252049.82926736365</v>
      </c>
      <c r="AA126" s="98">
        <f>IF(VLOOKUP($D126,$C$5:$AJ$646,25,)=0,0,((VLOOKUP($D126,$C$5:$AJ$646,25,)/VLOOKUP($D126,$C$5:$AJ$646,4,))*$F126))</f>
        <v>215661.85985374165</v>
      </c>
      <c r="AB126" s="98">
        <f>IF(VLOOKUP($D126,$C$5:$AJ$646,26,)=0,0,((VLOOKUP($D126,$C$5:$AJ$646,26,)/VLOOKUP($D126,$C$5:$AJ$646,4,))*$F126))</f>
        <v>144572.11391505477</v>
      </c>
      <c r="AC126" s="98">
        <f>IF(VLOOKUP($D126,$C$5:$AJ$646,27,)=0,0,((VLOOKUP($D126,$C$5:$AJ$646,27,)/VLOOKUP($D126,$C$5:$AJ$646,4,))*$F126))</f>
        <v>114569.06470681616</v>
      </c>
      <c r="AD126" s="98">
        <f>IF(VLOOKUP($D126,$C$5:$AJ$646,28,)=0,0,((VLOOKUP($D126,$C$5:$AJ$646,28,)/VLOOKUP($D126,$C$5:$AJ$646,4,))*$F126))</f>
        <v>168270.47491560722</v>
      </c>
      <c r="AE126" s="98"/>
      <c r="AF126" s="98">
        <f>IF(VLOOKUP($D126,$C$5:$AJ$646,30,)=0,0,((VLOOKUP($D126,$C$5:$AJ$646,30,)/VLOOKUP($D126,$C$5:$AJ$646,4,))*$F126))</f>
        <v>0</v>
      </c>
      <c r="AG126" s="98"/>
      <c r="AH126" s="98">
        <f>IF(VLOOKUP($D126,$C$5:$AJ$646,32,)=0,0,((VLOOKUP($D126,$C$5:$AJ$646,32,)/VLOOKUP($D126,$C$5:$AJ$646,4,))*$F126))</f>
        <v>0</v>
      </c>
      <c r="AI126" s="98"/>
      <c r="AJ126" s="98">
        <f>IF(VLOOKUP($D126,$C$5:$AJ$646,34,)=0,0,((VLOOKUP($D126,$C$5:$AJ$646,34,)/VLOOKUP($D126,$C$5:$AJ$646,4,))*$F126))</f>
        <v>0</v>
      </c>
      <c r="AK126" s="98">
        <f>SUM(H126:AJ126)</f>
        <v>9365572.599198224</v>
      </c>
      <c r="AL126" s="95" t="str">
        <f t="shared" si="77"/>
        <v>ok</v>
      </c>
    </row>
    <row r="127" spans="1:39" ht="15.75" x14ac:dyDescent="0.25">
      <c r="A127" s="31"/>
      <c r="F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5"/>
    </row>
    <row r="128" spans="1:39" ht="15.75" x14ac:dyDescent="0.25">
      <c r="A128" s="91" t="s">
        <v>865</v>
      </c>
      <c r="C128" s="94" t="s">
        <v>864</v>
      </c>
      <c r="F128" s="98">
        <f>SUM(F123:F127)</f>
        <v>439643556.61911047</v>
      </c>
      <c r="H128" s="98">
        <f t="shared" ref="H128:M128" si="78">SUM(H123:H127)</f>
        <v>103144758.40829122</v>
      </c>
      <c r="I128" s="98">
        <f t="shared" si="78"/>
        <v>97232268.640621647</v>
      </c>
      <c r="J128" s="98">
        <f t="shared" si="78"/>
        <v>99858211.127052426</v>
      </c>
      <c r="K128" s="98">
        <f t="shared" si="78"/>
        <v>0</v>
      </c>
      <c r="L128" s="98">
        <f t="shared" si="78"/>
        <v>0</v>
      </c>
      <c r="M128" s="98">
        <f t="shared" si="78"/>
        <v>0</v>
      </c>
      <c r="N128" s="98"/>
      <c r="O128" s="98">
        <f>SUM(O123:O127)</f>
        <v>11822595.866595568</v>
      </c>
      <c r="P128" s="98">
        <f>SUM(P123:P127)</f>
        <v>11144898.054634627</v>
      </c>
      <c r="Q128" s="98">
        <f>SUM(Q123:Q127)</f>
        <v>11445887.239786461</v>
      </c>
      <c r="R128" s="98"/>
      <c r="S128" s="98">
        <f t="shared" ref="S128:AD128" si="79">SUM(S123:S127)</f>
        <v>0</v>
      </c>
      <c r="T128" s="98">
        <f t="shared" si="79"/>
        <v>11405759.221532799</v>
      </c>
      <c r="U128" s="98">
        <f t="shared" si="79"/>
        <v>0</v>
      </c>
      <c r="V128" s="98">
        <f t="shared" si="79"/>
        <v>18473176.270795681</v>
      </c>
      <c r="W128" s="98">
        <f t="shared" si="79"/>
        <v>26440669.414986394</v>
      </c>
      <c r="X128" s="98">
        <f t="shared" si="79"/>
        <v>3259972.2830815907</v>
      </c>
      <c r="Y128" s="98">
        <f t="shared" si="79"/>
        <v>4666000.4849975994</v>
      </c>
      <c r="Z128" s="98">
        <f t="shared" si="79"/>
        <v>11474250.130855229</v>
      </c>
      <c r="AA128" s="98">
        <f t="shared" si="79"/>
        <v>9817733.7824036814</v>
      </c>
      <c r="AB128" s="98">
        <f t="shared" si="79"/>
        <v>6581462.8870396493</v>
      </c>
      <c r="AC128" s="98">
        <f t="shared" si="79"/>
        <v>5215611.9665912613</v>
      </c>
      <c r="AD128" s="98">
        <f t="shared" si="79"/>
        <v>7660300.8398446133</v>
      </c>
      <c r="AE128" s="98"/>
      <c r="AF128" s="98">
        <f>SUM(AF123:AF127)</f>
        <v>0</v>
      </c>
      <c r="AG128" s="98"/>
      <c r="AH128" s="98">
        <f>SUM(AH123:AH127)</f>
        <v>0</v>
      </c>
      <c r="AI128" s="98"/>
      <c r="AJ128" s="98">
        <f>SUM(AJ123:AJ127)</f>
        <v>0</v>
      </c>
      <c r="AK128" s="98">
        <f>SUM(AK123:AK127)</f>
        <v>439643556.61911047</v>
      </c>
      <c r="AL128" s="95" t="str">
        <f t="shared" si="77"/>
        <v>ok</v>
      </c>
    </row>
    <row r="129" spans="1:39" ht="15.75" x14ac:dyDescent="0.25">
      <c r="A129" s="107"/>
      <c r="F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  <c r="AL129" s="95"/>
    </row>
    <row r="130" spans="1:39" ht="15.75" x14ac:dyDescent="0.25">
      <c r="A130" s="30" t="s">
        <v>873</v>
      </c>
      <c r="F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95"/>
    </row>
    <row r="131" spans="1:39" ht="15.75" x14ac:dyDescent="0.25">
      <c r="A131" s="30" t="s">
        <v>874</v>
      </c>
      <c r="C131" s="94" t="s">
        <v>866</v>
      </c>
      <c r="D131" s="94" t="s">
        <v>882</v>
      </c>
      <c r="F131" s="97">
        <f>'Jurisdictional Study'!F880</f>
        <v>86299724.418162271</v>
      </c>
      <c r="H131" s="98">
        <f t="shared" ref="H131:H136" si="80">IF(VLOOKUP($D131,$C$5:$AJ$646,6,)=0,0,((VLOOKUP($D131,$C$5:$AJ$646,6,)/VLOOKUP($D131,$C$5:$AJ$646,4,))*$F131))</f>
        <v>29647966.307660542</v>
      </c>
      <c r="I131" s="98">
        <f t="shared" ref="I131:I136" si="81">IF(VLOOKUP($D131,$C$5:$AJ$646,7,)=0,0,((VLOOKUP($D131,$C$5:$AJ$646,7,)/VLOOKUP($D131,$C$5:$AJ$646,4,))*$F131))</f>
        <v>27948478.130739629</v>
      </c>
      <c r="J131" s="98">
        <f t="shared" ref="J131:J136" si="82">IF(VLOOKUP($D131,$C$5:$AJ$646,8,)=0,0,((VLOOKUP($D131,$C$5:$AJ$646,8,)/VLOOKUP($D131,$C$5:$AJ$646,4,))*$F131))</f>
        <v>28703279.9797621</v>
      </c>
      <c r="K131" s="98">
        <f t="shared" ref="K131:K136" si="83">IF(VLOOKUP($D131,$C$5:$AJ$646,9,)=0,0,((VLOOKUP($D131,$C$5:$AJ$646,9,)/VLOOKUP($D131,$C$5:$AJ$646,4,))*$F131))</f>
        <v>0</v>
      </c>
      <c r="L131" s="98">
        <f t="shared" ref="L131:L136" si="84">IF(VLOOKUP($D131,$C$5:$AJ$646,10,)=0,0,((VLOOKUP($D131,$C$5:$AJ$646,10,)/VLOOKUP($D131,$C$5:$AJ$646,4,))*$F131))</f>
        <v>0</v>
      </c>
      <c r="M131" s="98">
        <f t="shared" ref="M131:M136" si="85">IF(VLOOKUP($D131,$C$5:$AJ$646,11,)=0,0,((VLOOKUP($D131,$C$5:$AJ$646,11,)/VLOOKUP($D131,$C$5:$AJ$646,4,))*$F131))</f>
        <v>0</v>
      </c>
      <c r="N131" s="98"/>
      <c r="O131" s="98">
        <f t="shared" ref="O131:O136" si="86">IF(VLOOKUP($D131,$C$5:$AJ$646,13,)=0,0,((VLOOKUP($D131,$C$5:$AJ$646,13,)/VLOOKUP($D131,$C$5:$AJ$646,4,))*$F131))</f>
        <v>0</v>
      </c>
      <c r="P131" s="98">
        <f t="shared" ref="P131:P136" si="87">IF(VLOOKUP($D131,$C$5:$AJ$646,14,)=0,0,((VLOOKUP($D131,$C$5:$AJ$646,14,)/VLOOKUP($D131,$C$5:$AJ$646,4,))*$F131))</f>
        <v>0</v>
      </c>
      <c r="Q131" s="98">
        <f t="shared" ref="Q131:Q136" si="88">IF(VLOOKUP($D131,$C$5:$AJ$646,15,)=0,0,((VLOOKUP($D131,$C$5:$AJ$646,15,)/VLOOKUP($D131,$C$5:$AJ$646,4,))*$F131))</f>
        <v>0</v>
      </c>
      <c r="R131" s="98"/>
      <c r="S131" s="98">
        <f t="shared" ref="S131:S136" si="89">IF(VLOOKUP($D131,$C$5:$AJ$646,17,)=0,0,((VLOOKUP($D131,$C$5:$AJ$646,17,)/VLOOKUP($D131,$C$5:$AJ$646,4,))*$F131))</f>
        <v>0</v>
      </c>
      <c r="T131" s="98">
        <f t="shared" ref="T131:T136" si="90">IF(VLOOKUP($D131,$C$5:$AJ$646,18,)=0,0,((VLOOKUP($D131,$C$5:$AJ$646,18,)/VLOOKUP($D131,$C$5:$AJ$646,4,))*$F131))</f>
        <v>0</v>
      </c>
      <c r="U131" s="98">
        <f t="shared" ref="U131:U136" si="91">IF(VLOOKUP($D131,$C$5:$AJ$646,19,)=0,0,((VLOOKUP($D131,$C$5:$AJ$646,19,)/VLOOKUP($D131,$C$5:$AJ$646,4,))*$F131))</f>
        <v>0</v>
      </c>
      <c r="V131" s="98">
        <f t="shared" ref="V131:V136" si="92">IF(VLOOKUP($D131,$C$5:$AJ$646,20,)=0,0,((VLOOKUP($D131,$C$5:$AJ$646,20,)/VLOOKUP($D131,$C$5:$AJ$646,4,))*$F131))</f>
        <v>0</v>
      </c>
      <c r="W131" s="98">
        <f t="shared" ref="W131:W136" si="93">IF(VLOOKUP($D131,$C$5:$AJ$646,21,)=0,0,((VLOOKUP($D131,$C$5:$AJ$646,21,)/VLOOKUP($D131,$C$5:$AJ$646,4,))*$F131))</f>
        <v>0</v>
      </c>
      <c r="X131" s="98">
        <f t="shared" ref="X131:X136" si="94">IF(VLOOKUP($D131,$C$5:$AJ$646,22,)=0,0,((VLOOKUP($D131,$C$5:$AJ$646,22,)/VLOOKUP($D131,$C$5:$AJ$646,4,))*$F131))</f>
        <v>0</v>
      </c>
      <c r="Y131" s="98">
        <f t="shared" ref="Y131:Y136" si="95">IF(VLOOKUP($D131,$C$5:$AJ$646,23,)=0,0,((VLOOKUP($D131,$C$5:$AJ$646,23,)/VLOOKUP($D131,$C$5:$AJ$646,4,))*$F131))</f>
        <v>0</v>
      </c>
      <c r="Z131" s="98">
        <f t="shared" ref="Z131:Z136" si="96">IF(VLOOKUP($D131,$C$5:$AJ$646,24,)=0,0,((VLOOKUP($D131,$C$5:$AJ$646,24,)/VLOOKUP($D131,$C$5:$AJ$646,4,))*$F131))</f>
        <v>0</v>
      </c>
      <c r="AA131" s="98">
        <f t="shared" ref="AA131:AA136" si="97">IF(VLOOKUP($D131,$C$5:$AJ$646,25,)=0,0,((VLOOKUP($D131,$C$5:$AJ$646,25,)/VLOOKUP($D131,$C$5:$AJ$646,4,))*$F131))</f>
        <v>0</v>
      </c>
      <c r="AB131" s="98">
        <f t="shared" ref="AB131:AB136" si="98">IF(VLOOKUP($D131,$C$5:$AJ$646,26,)=0,0,((VLOOKUP($D131,$C$5:$AJ$646,26,)/VLOOKUP($D131,$C$5:$AJ$646,4,))*$F131))</f>
        <v>0</v>
      </c>
      <c r="AC131" s="98">
        <f t="shared" ref="AC131:AC136" si="99">IF(VLOOKUP($D131,$C$5:$AJ$646,27,)=0,0,((VLOOKUP($D131,$C$5:$AJ$646,27,)/VLOOKUP($D131,$C$5:$AJ$646,4,))*$F131))</f>
        <v>0</v>
      </c>
      <c r="AD131" s="98">
        <f t="shared" ref="AD131:AD136" si="100">IF(VLOOKUP($D131,$C$5:$AJ$646,28,)=0,0,((VLOOKUP($D131,$C$5:$AJ$646,28,)/VLOOKUP($D131,$C$5:$AJ$646,4,))*$F131))</f>
        <v>0</v>
      </c>
      <c r="AE131" s="98"/>
      <c r="AF131" s="98">
        <f t="shared" ref="AF131:AF136" si="101">IF(VLOOKUP($D131,$C$5:$AJ$646,30,)=0,0,((VLOOKUP($D131,$C$5:$AJ$646,30,)/VLOOKUP($D131,$C$5:$AJ$646,4,))*$F131))</f>
        <v>0</v>
      </c>
      <c r="AG131" s="98"/>
      <c r="AH131" s="98">
        <f t="shared" ref="AH131:AH136" si="102">IF(VLOOKUP($D131,$C$5:$AJ$646,32,)=0,0,((VLOOKUP($D131,$C$5:$AJ$646,32,)/VLOOKUP($D131,$C$5:$AJ$646,4,))*$F131))</f>
        <v>0</v>
      </c>
      <c r="AI131" s="98"/>
      <c r="AJ131" s="98">
        <f t="shared" ref="AJ131:AJ136" si="103">IF(VLOOKUP($D131,$C$5:$AJ$646,34,)=0,0,((VLOOKUP($D131,$C$5:$AJ$646,34,)/VLOOKUP($D131,$C$5:$AJ$646,4,))*$F131))</f>
        <v>0</v>
      </c>
      <c r="AK131" s="98">
        <f t="shared" ref="AK131:AK136" si="104">SUM(H131:AJ131)</f>
        <v>86299724.418162271</v>
      </c>
      <c r="AL131" s="95" t="str">
        <f t="shared" ref="AL131:AL138" si="105">IF(ABS(AK131-F131)&lt;1,"ok","err")</f>
        <v>ok</v>
      </c>
    </row>
    <row r="132" spans="1:39" ht="15.75" x14ac:dyDescent="0.25">
      <c r="A132" s="30" t="s">
        <v>875</v>
      </c>
      <c r="C132" s="94" t="s">
        <v>871</v>
      </c>
      <c r="D132" s="94" t="s">
        <v>585</v>
      </c>
      <c r="F132" s="98">
        <f>'Jurisdictional Study'!F881</f>
        <v>0</v>
      </c>
      <c r="H132" s="98">
        <f t="shared" si="80"/>
        <v>0</v>
      </c>
      <c r="I132" s="98">
        <f t="shared" si="81"/>
        <v>0</v>
      </c>
      <c r="J132" s="98">
        <f t="shared" si="82"/>
        <v>0</v>
      </c>
      <c r="K132" s="98">
        <f t="shared" si="83"/>
        <v>0</v>
      </c>
      <c r="L132" s="98">
        <f t="shared" si="84"/>
        <v>0</v>
      </c>
      <c r="M132" s="98">
        <f t="shared" si="85"/>
        <v>0</v>
      </c>
      <c r="N132" s="98"/>
      <c r="O132" s="98">
        <f t="shared" si="86"/>
        <v>0</v>
      </c>
      <c r="P132" s="98">
        <f t="shared" si="87"/>
        <v>0</v>
      </c>
      <c r="Q132" s="98">
        <f t="shared" si="88"/>
        <v>0</v>
      </c>
      <c r="R132" s="98"/>
      <c r="S132" s="98">
        <f t="shared" si="89"/>
        <v>0</v>
      </c>
      <c r="T132" s="98">
        <f t="shared" si="90"/>
        <v>0</v>
      </c>
      <c r="U132" s="98">
        <f t="shared" si="91"/>
        <v>0</v>
      </c>
      <c r="V132" s="98">
        <f t="shared" si="92"/>
        <v>0</v>
      </c>
      <c r="W132" s="98">
        <f t="shared" si="93"/>
        <v>0</v>
      </c>
      <c r="X132" s="98">
        <f t="shared" si="94"/>
        <v>0</v>
      </c>
      <c r="Y132" s="98">
        <f t="shared" si="95"/>
        <v>0</v>
      </c>
      <c r="Z132" s="98">
        <f t="shared" si="96"/>
        <v>0</v>
      </c>
      <c r="AA132" s="98">
        <f t="shared" si="97"/>
        <v>0</v>
      </c>
      <c r="AB132" s="98">
        <f t="shared" si="98"/>
        <v>0</v>
      </c>
      <c r="AC132" s="98">
        <f t="shared" si="99"/>
        <v>0</v>
      </c>
      <c r="AD132" s="98">
        <f t="shared" si="100"/>
        <v>0</v>
      </c>
      <c r="AE132" s="98"/>
      <c r="AF132" s="98">
        <f t="shared" si="101"/>
        <v>0</v>
      </c>
      <c r="AG132" s="98"/>
      <c r="AH132" s="98">
        <f t="shared" si="102"/>
        <v>0</v>
      </c>
      <c r="AI132" s="98"/>
      <c r="AJ132" s="98">
        <f t="shared" si="103"/>
        <v>0</v>
      </c>
      <c r="AK132" s="98">
        <f t="shared" si="104"/>
        <v>0</v>
      </c>
      <c r="AL132" s="95" t="str">
        <f t="shared" si="105"/>
        <v>ok</v>
      </c>
    </row>
    <row r="133" spans="1:39" ht="15.75" x14ac:dyDescent="0.25">
      <c r="A133" s="30" t="s">
        <v>876</v>
      </c>
      <c r="C133" s="94" t="s">
        <v>872</v>
      </c>
      <c r="D133" s="94" t="s">
        <v>585</v>
      </c>
      <c r="F133" s="98">
        <f>'Jurisdictional Study'!F882</f>
        <v>0</v>
      </c>
      <c r="H133" s="98">
        <f t="shared" si="80"/>
        <v>0</v>
      </c>
      <c r="I133" s="98">
        <f t="shared" si="81"/>
        <v>0</v>
      </c>
      <c r="J133" s="98">
        <f t="shared" si="82"/>
        <v>0</v>
      </c>
      <c r="K133" s="98">
        <f t="shared" si="83"/>
        <v>0</v>
      </c>
      <c r="L133" s="98">
        <f t="shared" si="84"/>
        <v>0</v>
      </c>
      <c r="M133" s="98">
        <f t="shared" si="85"/>
        <v>0</v>
      </c>
      <c r="N133" s="98"/>
      <c r="O133" s="98">
        <f t="shared" si="86"/>
        <v>0</v>
      </c>
      <c r="P133" s="98">
        <f t="shared" si="87"/>
        <v>0</v>
      </c>
      <c r="Q133" s="98">
        <f t="shared" si="88"/>
        <v>0</v>
      </c>
      <c r="R133" s="98"/>
      <c r="S133" s="98">
        <f t="shared" si="89"/>
        <v>0</v>
      </c>
      <c r="T133" s="98">
        <f t="shared" si="90"/>
        <v>0</v>
      </c>
      <c r="U133" s="98">
        <f t="shared" si="91"/>
        <v>0</v>
      </c>
      <c r="V133" s="98">
        <f t="shared" si="92"/>
        <v>0</v>
      </c>
      <c r="W133" s="98">
        <f t="shared" si="93"/>
        <v>0</v>
      </c>
      <c r="X133" s="98">
        <f t="shared" si="94"/>
        <v>0</v>
      </c>
      <c r="Y133" s="98">
        <f t="shared" si="95"/>
        <v>0</v>
      </c>
      <c r="Z133" s="98">
        <f t="shared" si="96"/>
        <v>0</v>
      </c>
      <c r="AA133" s="98">
        <f t="shared" si="97"/>
        <v>0</v>
      </c>
      <c r="AB133" s="98">
        <f t="shared" si="98"/>
        <v>0</v>
      </c>
      <c r="AC133" s="98">
        <f t="shared" si="99"/>
        <v>0</v>
      </c>
      <c r="AD133" s="98">
        <f t="shared" si="100"/>
        <v>0</v>
      </c>
      <c r="AE133" s="98"/>
      <c r="AF133" s="98">
        <f t="shared" si="101"/>
        <v>0</v>
      </c>
      <c r="AG133" s="98"/>
      <c r="AH133" s="98">
        <f t="shared" si="102"/>
        <v>0</v>
      </c>
      <c r="AI133" s="98"/>
      <c r="AJ133" s="98">
        <f t="shared" si="103"/>
        <v>0</v>
      </c>
      <c r="AK133" s="98">
        <f t="shared" si="104"/>
        <v>0</v>
      </c>
      <c r="AL133" s="95" t="str">
        <f t="shared" si="105"/>
        <v>ok</v>
      </c>
    </row>
    <row r="134" spans="1:39" ht="15.75" x14ac:dyDescent="0.25">
      <c r="A134" s="30" t="s">
        <v>877</v>
      </c>
      <c r="C134" s="94" t="s">
        <v>870</v>
      </c>
      <c r="D134" s="94" t="s">
        <v>129</v>
      </c>
      <c r="F134" s="98">
        <f>'Jurisdictional Study'!F883</f>
        <v>0</v>
      </c>
      <c r="H134" s="98">
        <f t="shared" si="80"/>
        <v>0</v>
      </c>
      <c r="I134" s="98">
        <f t="shared" si="81"/>
        <v>0</v>
      </c>
      <c r="J134" s="98">
        <f t="shared" si="82"/>
        <v>0</v>
      </c>
      <c r="K134" s="98">
        <f t="shared" si="83"/>
        <v>0</v>
      </c>
      <c r="L134" s="98">
        <f t="shared" si="84"/>
        <v>0</v>
      </c>
      <c r="M134" s="98">
        <f t="shared" si="85"/>
        <v>0</v>
      </c>
      <c r="N134" s="98"/>
      <c r="O134" s="98">
        <f t="shared" si="86"/>
        <v>0</v>
      </c>
      <c r="P134" s="98">
        <f t="shared" si="87"/>
        <v>0</v>
      </c>
      <c r="Q134" s="98">
        <f t="shared" si="88"/>
        <v>0</v>
      </c>
      <c r="R134" s="98"/>
      <c r="S134" s="98">
        <f t="shared" si="89"/>
        <v>0</v>
      </c>
      <c r="T134" s="98">
        <f t="shared" si="90"/>
        <v>0</v>
      </c>
      <c r="U134" s="98">
        <f t="shared" si="91"/>
        <v>0</v>
      </c>
      <c r="V134" s="98">
        <f t="shared" si="92"/>
        <v>0</v>
      </c>
      <c r="W134" s="98">
        <f t="shared" si="93"/>
        <v>0</v>
      </c>
      <c r="X134" s="98">
        <f t="shared" si="94"/>
        <v>0</v>
      </c>
      <c r="Y134" s="98">
        <f t="shared" si="95"/>
        <v>0</v>
      </c>
      <c r="Z134" s="98">
        <f t="shared" si="96"/>
        <v>0</v>
      </c>
      <c r="AA134" s="98">
        <f t="shared" si="97"/>
        <v>0</v>
      </c>
      <c r="AB134" s="98">
        <f t="shared" si="98"/>
        <v>0</v>
      </c>
      <c r="AC134" s="98">
        <f t="shared" si="99"/>
        <v>0</v>
      </c>
      <c r="AD134" s="98">
        <f t="shared" si="100"/>
        <v>0</v>
      </c>
      <c r="AE134" s="98"/>
      <c r="AF134" s="98">
        <f t="shared" si="101"/>
        <v>0</v>
      </c>
      <c r="AG134" s="98"/>
      <c r="AH134" s="98">
        <f t="shared" si="102"/>
        <v>0</v>
      </c>
      <c r="AI134" s="98"/>
      <c r="AJ134" s="98">
        <f t="shared" si="103"/>
        <v>0</v>
      </c>
      <c r="AK134" s="98">
        <f t="shared" si="104"/>
        <v>0</v>
      </c>
      <c r="AL134" s="95" t="str">
        <f t="shared" si="105"/>
        <v>ok</v>
      </c>
    </row>
    <row r="135" spans="1:39" ht="15.75" x14ac:dyDescent="0.25">
      <c r="A135" s="30" t="s">
        <v>879</v>
      </c>
      <c r="C135" s="94" t="s">
        <v>869</v>
      </c>
      <c r="D135" s="94" t="s">
        <v>129</v>
      </c>
      <c r="F135" s="98">
        <f>'Jurisdictional Study'!F884</f>
        <v>0</v>
      </c>
      <c r="H135" s="98">
        <f t="shared" si="80"/>
        <v>0</v>
      </c>
      <c r="I135" s="98">
        <f t="shared" si="81"/>
        <v>0</v>
      </c>
      <c r="J135" s="98">
        <f t="shared" si="82"/>
        <v>0</v>
      </c>
      <c r="K135" s="98">
        <f t="shared" si="83"/>
        <v>0</v>
      </c>
      <c r="L135" s="98">
        <f t="shared" si="84"/>
        <v>0</v>
      </c>
      <c r="M135" s="98">
        <f t="shared" si="85"/>
        <v>0</v>
      </c>
      <c r="N135" s="98"/>
      <c r="O135" s="98">
        <f t="shared" si="86"/>
        <v>0</v>
      </c>
      <c r="P135" s="98">
        <f t="shared" si="87"/>
        <v>0</v>
      </c>
      <c r="Q135" s="98">
        <f t="shared" si="88"/>
        <v>0</v>
      </c>
      <c r="R135" s="98"/>
      <c r="S135" s="98">
        <f t="shared" si="89"/>
        <v>0</v>
      </c>
      <c r="T135" s="98">
        <f t="shared" si="90"/>
        <v>0</v>
      </c>
      <c r="U135" s="98">
        <f t="shared" si="91"/>
        <v>0</v>
      </c>
      <c r="V135" s="98">
        <f t="shared" si="92"/>
        <v>0</v>
      </c>
      <c r="W135" s="98">
        <f t="shared" si="93"/>
        <v>0</v>
      </c>
      <c r="X135" s="98">
        <f t="shared" si="94"/>
        <v>0</v>
      </c>
      <c r="Y135" s="98">
        <f t="shared" si="95"/>
        <v>0</v>
      </c>
      <c r="Z135" s="98">
        <f t="shared" si="96"/>
        <v>0</v>
      </c>
      <c r="AA135" s="98">
        <f t="shared" si="97"/>
        <v>0</v>
      </c>
      <c r="AB135" s="98">
        <f t="shared" si="98"/>
        <v>0</v>
      </c>
      <c r="AC135" s="98">
        <f t="shared" si="99"/>
        <v>0</v>
      </c>
      <c r="AD135" s="98">
        <f t="shared" si="100"/>
        <v>0</v>
      </c>
      <c r="AE135" s="98"/>
      <c r="AF135" s="98">
        <f t="shared" si="101"/>
        <v>0</v>
      </c>
      <c r="AG135" s="98"/>
      <c r="AH135" s="98">
        <f t="shared" si="102"/>
        <v>0</v>
      </c>
      <c r="AI135" s="98"/>
      <c r="AJ135" s="98">
        <f t="shared" si="103"/>
        <v>0</v>
      </c>
      <c r="AK135" s="98">
        <f t="shared" si="104"/>
        <v>0</v>
      </c>
      <c r="AL135" s="95" t="str">
        <f t="shared" si="105"/>
        <v>ok</v>
      </c>
    </row>
    <row r="136" spans="1:39" ht="15.75" x14ac:dyDescent="0.25">
      <c r="A136" s="30" t="s">
        <v>176</v>
      </c>
      <c r="C136" s="94" t="s">
        <v>868</v>
      </c>
      <c r="D136" s="94" t="s">
        <v>586</v>
      </c>
      <c r="F136" s="98">
        <f>'Jurisdictional Study'!F885</f>
        <v>0</v>
      </c>
      <c r="H136" s="98">
        <f t="shared" si="80"/>
        <v>0</v>
      </c>
      <c r="I136" s="98">
        <f t="shared" si="81"/>
        <v>0</v>
      </c>
      <c r="J136" s="98">
        <f t="shared" si="82"/>
        <v>0</v>
      </c>
      <c r="K136" s="98">
        <f t="shared" si="83"/>
        <v>0</v>
      </c>
      <c r="L136" s="98">
        <f t="shared" si="84"/>
        <v>0</v>
      </c>
      <c r="M136" s="98">
        <f t="shared" si="85"/>
        <v>0</v>
      </c>
      <c r="N136" s="98"/>
      <c r="O136" s="98">
        <f t="shared" si="86"/>
        <v>0</v>
      </c>
      <c r="P136" s="98">
        <f t="shared" si="87"/>
        <v>0</v>
      </c>
      <c r="Q136" s="98">
        <f t="shared" si="88"/>
        <v>0</v>
      </c>
      <c r="R136" s="98"/>
      <c r="S136" s="98">
        <f t="shared" si="89"/>
        <v>0</v>
      </c>
      <c r="T136" s="98">
        <f t="shared" si="90"/>
        <v>0</v>
      </c>
      <c r="U136" s="98">
        <f t="shared" si="91"/>
        <v>0</v>
      </c>
      <c r="V136" s="98">
        <f t="shared" si="92"/>
        <v>0</v>
      </c>
      <c r="W136" s="98">
        <f t="shared" si="93"/>
        <v>0</v>
      </c>
      <c r="X136" s="98">
        <f t="shared" si="94"/>
        <v>0</v>
      </c>
      <c r="Y136" s="98">
        <f t="shared" si="95"/>
        <v>0</v>
      </c>
      <c r="Z136" s="98">
        <f t="shared" si="96"/>
        <v>0</v>
      </c>
      <c r="AA136" s="98">
        <f t="shared" si="97"/>
        <v>0</v>
      </c>
      <c r="AB136" s="98">
        <f t="shared" si="98"/>
        <v>0</v>
      </c>
      <c r="AC136" s="98">
        <f t="shared" si="99"/>
        <v>0</v>
      </c>
      <c r="AD136" s="98">
        <f t="shared" si="100"/>
        <v>0</v>
      </c>
      <c r="AE136" s="98"/>
      <c r="AF136" s="98">
        <f t="shared" si="101"/>
        <v>0</v>
      </c>
      <c r="AG136" s="98"/>
      <c r="AH136" s="98">
        <f t="shared" si="102"/>
        <v>0</v>
      </c>
      <c r="AI136" s="98"/>
      <c r="AJ136" s="98">
        <f t="shared" si="103"/>
        <v>0</v>
      </c>
      <c r="AK136" s="98">
        <f t="shared" si="104"/>
        <v>0</v>
      </c>
      <c r="AL136" s="95" t="str">
        <f t="shared" si="105"/>
        <v>ok</v>
      </c>
    </row>
    <row r="137" spans="1:39" ht="15.75" x14ac:dyDescent="0.25">
      <c r="A137" s="30"/>
      <c r="F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8"/>
      <c r="AK137" s="98"/>
      <c r="AL137" s="95"/>
    </row>
    <row r="138" spans="1:39" ht="15.75" x14ac:dyDescent="0.25">
      <c r="A138" s="91" t="s">
        <v>878</v>
      </c>
      <c r="C138" s="94" t="s">
        <v>867</v>
      </c>
      <c r="F138" s="98">
        <f>SUM(F131:F137)</f>
        <v>86299724.418162271</v>
      </c>
      <c r="H138" s="98">
        <f t="shared" ref="H138:M138" si="106">SUM(H131:H137)</f>
        <v>29647966.307660542</v>
      </c>
      <c r="I138" s="98">
        <f t="shared" si="106"/>
        <v>27948478.130739629</v>
      </c>
      <c r="J138" s="98">
        <f t="shared" si="106"/>
        <v>28703279.9797621</v>
      </c>
      <c r="K138" s="98">
        <f t="shared" si="106"/>
        <v>0</v>
      </c>
      <c r="L138" s="98">
        <f t="shared" si="106"/>
        <v>0</v>
      </c>
      <c r="M138" s="98">
        <f t="shared" si="106"/>
        <v>0</v>
      </c>
      <c r="N138" s="98"/>
      <c r="O138" s="98">
        <f>SUM(O131:O137)</f>
        <v>0</v>
      </c>
      <c r="P138" s="98">
        <f>SUM(P131:P137)</f>
        <v>0</v>
      </c>
      <c r="Q138" s="98">
        <f>SUM(Q131:Q137)</f>
        <v>0</v>
      </c>
      <c r="R138" s="98"/>
      <c r="S138" s="98">
        <f t="shared" ref="S138:AD138" si="107">SUM(S131:S137)</f>
        <v>0</v>
      </c>
      <c r="T138" s="98">
        <f t="shared" si="107"/>
        <v>0</v>
      </c>
      <c r="U138" s="98">
        <f t="shared" si="107"/>
        <v>0</v>
      </c>
      <c r="V138" s="98">
        <f t="shared" si="107"/>
        <v>0</v>
      </c>
      <c r="W138" s="98">
        <f t="shared" si="107"/>
        <v>0</v>
      </c>
      <c r="X138" s="98">
        <f t="shared" si="107"/>
        <v>0</v>
      </c>
      <c r="Y138" s="98">
        <f t="shared" si="107"/>
        <v>0</v>
      </c>
      <c r="Z138" s="98">
        <f t="shared" si="107"/>
        <v>0</v>
      </c>
      <c r="AA138" s="98">
        <f t="shared" si="107"/>
        <v>0</v>
      </c>
      <c r="AB138" s="98">
        <f t="shared" si="107"/>
        <v>0</v>
      </c>
      <c r="AC138" s="98">
        <f t="shared" si="107"/>
        <v>0</v>
      </c>
      <c r="AD138" s="98">
        <f t="shared" si="107"/>
        <v>0</v>
      </c>
      <c r="AE138" s="98"/>
      <c r="AF138" s="98">
        <f>SUM(AF131:AF137)</f>
        <v>0</v>
      </c>
      <c r="AG138" s="98"/>
      <c r="AH138" s="98">
        <f>SUM(AH131:AH137)</f>
        <v>0</v>
      </c>
      <c r="AI138" s="98"/>
      <c r="AJ138" s="98">
        <f>SUM(AJ131:AJ137)</f>
        <v>0</v>
      </c>
      <c r="AK138" s="98">
        <f>SUM(AK131:AK137)</f>
        <v>86299724.418162271</v>
      </c>
      <c r="AL138" s="95" t="str">
        <f t="shared" si="105"/>
        <v>ok</v>
      </c>
    </row>
    <row r="139" spans="1:39" x14ac:dyDescent="0.25"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  <c r="AD139" s="98"/>
      <c r="AE139" s="98"/>
      <c r="AF139" s="98"/>
      <c r="AG139" s="98"/>
      <c r="AH139" s="98"/>
      <c r="AI139" s="98"/>
      <c r="AJ139" s="98"/>
      <c r="AK139" s="98"/>
      <c r="AL139" s="95"/>
    </row>
    <row r="140" spans="1:39" x14ac:dyDescent="0.25">
      <c r="A140" s="94" t="s">
        <v>565</v>
      </c>
      <c r="F140" s="99">
        <f>F128+F138</f>
        <v>525943281.03727275</v>
      </c>
      <c r="G140" s="99"/>
      <c r="H140" s="99">
        <f t="shared" ref="H140:M140" si="108">H128+H138</f>
        <v>132792724.71595177</v>
      </c>
      <c r="I140" s="99">
        <f t="shared" si="108"/>
        <v>125180746.77136128</v>
      </c>
      <c r="J140" s="99">
        <f t="shared" si="108"/>
        <v>128561491.10681453</v>
      </c>
      <c r="K140" s="99">
        <f t="shared" si="108"/>
        <v>0</v>
      </c>
      <c r="L140" s="99">
        <f t="shared" si="108"/>
        <v>0</v>
      </c>
      <c r="M140" s="99">
        <f t="shared" si="108"/>
        <v>0</v>
      </c>
      <c r="N140" s="99"/>
      <c r="O140" s="99">
        <f>O128+O138</f>
        <v>11822595.866595568</v>
      </c>
      <c r="P140" s="99">
        <f>P128+P138</f>
        <v>11144898.054634627</v>
      </c>
      <c r="Q140" s="99">
        <f>Q128+Q138</f>
        <v>11445887.239786461</v>
      </c>
      <c r="R140" s="99"/>
      <c r="S140" s="99">
        <f t="shared" ref="S140:AD140" si="109">S128+S138</f>
        <v>0</v>
      </c>
      <c r="T140" s="99">
        <f t="shared" si="109"/>
        <v>11405759.221532799</v>
      </c>
      <c r="U140" s="99">
        <f t="shared" si="109"/>
        <v>0</v>
      </c>
      <c r="V140" s="99">
        <f t="shared" si="109"/>
        <v>18473176.270795681</v>
      </c>
      <c r="W140" s="99">
        <f t="shared" si="109"/>
        <v>26440669.414986394</v>
      </c>
      <c r="X140" s="99">
        <f t="shared" si="109"/>
        <v>3259972.2830815907</v>
      </c>
      <c r="Y140" s="99">
        <f t="shared" si="109"/>
        <v>4666000.4849975994</v>
      </c>
      <c r="Z140" s="99">
        <f t="shared" si="109"/>
        <v>11474250.130855229</v>
      </c>
      <c r="AA140" s="99">
        <f t="shared" si="109"/>
        <v>9817733.7824036814</v>
      </c>
      <c r="AB140" s="99">
        <f t="shared" si="109"/>
        <v>6581462.8870396493</v>
      </c>
      <c r="AC140" s="99">
        <f t="shared" si="109"/>
        <v>5215611.9665912613</v>
      </c>
      <c r="AD140" s="99">
        <f t="shared" si="109"/>
        <v>7660300.8398446133</v>
      </c>
      <c r="AE140" s="99"/>
      <c r="AF140" s="99">
        <f>AF128+AF138</f>
        <v>0</v>
      </c>
      <c r="AG140" s="99"/>
      <c r="AH140" s="99">
        <f>AH128+AH138</f>
        <v>0</v>
      </c>
      <c r="AI140" s="99"/>
      <c r="AJ140" s="99">
        <f>AJ128+AJ138</f>
        <v>0</v>
      </c>
      <c r="AK140" s="99">
        <f>AK128+AK138</f>
        <v>525943281.03727275</v>
      </c>
      <c r="AL140" s="95" t="str">
        <f>IF(ABS(AK140-F140)&lt;1,"ok","err")</f>
        <v>ok</v>
      </c>
    </row>
    <row r="141" spans="1:39" x14ac:dyDescent="0.25">
      <c r="A141" s="94" t="s">
        <v>1565</v>
      </c>
      <c r="C141" s="94" t="s">
        <v>952</v>
      </c>
      <c r="D141" s="94" t="s">
        <v>683</v>
      </c>
      <c r="F141" s="97">
        <f>'Jurisdictional Study'!F888</f>
        <v>2936188.7806725097</v>
      </c>
      <c r="H141" s="98">
        <f>IF(VLOOKUP($D141,$C$5:$AJ$646,6,)=0,0,((VLOOKUP($D141,$C$5:$AJ$646,6,)/VLOOKUP($D141,$C$5:$AJ$646,4,))*$F141))</f>
        <v>0</v>
      </c>
      <c r="I141" s="98">
        <f>IF(VLOOKUP($D141,$C$5:$AJ$646,7,)=0,0,((VLOOKUP($D141,$C$5:$AJ$646,7,)/VLOOKUP($D141,$C$5:$AJ$646,4,))*$F141))</f>
        <v>0</v>
      </c>
      <c r="J141" s="98">
        <f>IF(VLOOKUP($D141,$C$5:$AJ$646,8,)=0,0,((VLOOKUP($D141,$C$5:$AJ$646,8,)/VLOOKUP($D141,$C$5:$AJ$646,4,))*$F141))</f>
        <v>0</v>
      </c>
      <c r="K141" s="98">
        <f>IF(VLOOKUP($D141,$C$5:$AJ$646,9,)=0,0,((VLOOKUP($D141,$C$5:$AJ$646,9,)/VLOOKUP($D141,$C$5:$AJ$646,4,))*$F141))</f>
        <v>0</v>
      </c>
      <c r="L141" s="98">
        <f>IF(VLOOKUP($D141,$C$5:$AJ$646,10,)=0,0,((VLOOKUP($D141,$C$5:$AJ$646,10,)/VLOOKUP($D141,$C$5:$AJ$646,4,))*$F141))</f>
        <v>0</v>
      </c>
      <c r="M141" s="98">
        <f>IF(VLOOKUP($D141,$C$5:$AJ$646,11,)=0,0,((VLOOKUP($D141,$C$5:$AJ$646,11,)/VLOOKUP($D141,$C$5:$AJ$646,4,))*$F141))</f>
        <v>0</v>
      </c>
      <c r="N141" s="98"/>
      <c r="O141" s="98">
        <f>IF(VLOOKUP($D141,$C$5:$AJ$646,13,)=0,0,((VLOOKUP($D141,$C$5:$AJ$646,13,)/VLOOKUP($D141,$C$5:$AJ$646,4,))*$F141))</f>
        <v>0</v>
      </c>
      <c r="P141" s="98">
        <f>IF(VLOOKUP($D141,$C$5:$AJ$646,14,)=0,0,((VLOOKUP($D141,$C$5:$AJ$646,14,)/VLOOKUP($D141,$C$5:$AJ$646,4,))*$F141))</f>
        <v>0</v>
      </c>
      <c r="Q141" s="98">
        <f>IF(VLOOKUP($D141,$C$5:$AJ$646,15,)=0,0,((VLOOKUP($D141,$C$5:$AJ$646,15,)/VLOOKUP($D141,$C$5:$AJ$646,4,))*$F141))</f>
        <v>0</v>
      </c>
      <c r="R141" s="98"/>
      <c r="S141" s="98">
        <f>IF(VLOOKUP($D141,$C$5:$AJ$646,17,)=0,0,((VLOOKUP($D141,$C$5:$AJ$646,17,)/VLOOKUP($D141,$C$5:$AJ$646,4,))*$F141))</f>
        <v>0</v>
      </c>
      <c r="T141" s="98">
        <f>IF(VLOOKUP($D141,$C$5:$AJ$646,18,)=0,0,((VLOOKUP($D141,$C$5:$AJ$646,18,)/VLOOKUP($D141,$C$5:$AJ$646,4,))*$F141))</f>
        <v>0</v>
      </c>
      <c r="U141" s="98">
        <f>IF(VLOOKUP($D141,$C$5:$AJ$646,19,)=0,0,((VLOOKUP($D141,$C$5:$AJ$646,19,)/VLOOKUP($D141,$C$5:$AJ$646,4,))*$F141))</f>
        <v>0</v>
      </c>
      <c r="V141" s="98">
        <f>IF(VLOOKUP($D141,$C$5:$AJ$646,20,)=0,0,((VLOOKUP($D141,$C$5:$AJ$646,20,)/VLOOKUP($D141,$C$5:$AJ$646,4,))*$F141))</f>
        <v>1026512.4767046255</v>
      </c>
      <c r="W141" s="98">
        <f>IF(VLOOKUP($D141,$C$5:$AJ$646,21,)=0,0,((VLOOKUP($D141,$C$5:$AJ$646,21,)/VLOOKUP($D141,$C$5:$AJ$646,4,))*$F141))</f>
        <v>1469247.9868670073</v>
      </c>
      <c r="X141" s="98">
        <f>IF(VLOOKUP($D141,$C$5:$AJ$646,22,)=0,0,((VLOOKUP($D141,$C$5:$AJ$646,22,)/VLOOKUP($D141,$C$5:$AJ$646,4,))*$F141))</f>
        <v>181149.2605949339</v>
      </c>
      <c r="Y141" s="98">
        <f>IF(VLOOKUP($D141,$C$5:$AJ$646,23,)=0,0,((VLOOKUP($D141,$C$5:$AJ$646,23,)/VLOOKUP($D141,$C$5:$AJ$646,4,))*$F141))</f>
        <v>259279.05650594251</v>
      </c>
      <c r="Z141" s="98">
        <f>IF(VLOOKUP($D141,$C$5:$AJ$646,24,)=0,0,((VLOOKUP($D141,$C$5:$AJ$646,24,)/VLOOKUP($D141,$C$5:$AJ$646,4,))*$F141))</f>
        <v>0</v>
      </c>
      <c r="AA141" s="98">
        <f>IF(VLOOKUP($D141,$C$5:$AJ$646,25,)=0,0,((VLOOKUP($D141,$C$5:$AJ$646,25,)/VLOOKUP($D141,$C$5:$AJ$646,4,))*$F141))</f>
        <v>0</v>
      </c>
      <c r="AB141" s="98">
        <f>IF(VLOOKUP($D141,$C$5:$AJ$646,26,)=0,0,((VLOOKUP($D141,$C$5:$AJ$646,26,)/VLOOKUP($D141,$C$5:$AJ$646,4,))*$F141))</f>
        <v>0</v>
      </c>
      <c r="AC141" s="98">
        <f>IF(VLOOKUP($D141,$C$5:$AJ$646,27,)=0,0,((VLOOKUP($D141,$C$5:$AJ$646,27,)/VLOOKUP($D141,$C$5:$AJ$646,4,))*$F141))</f>
        <v>0</v>
      </c>
      <c r="AD141" s="98">
        <f>IF(VLOOKUP($D141,$C$5:$AJ$646,28,)=0,0,((VLOOKUP($D141,$C$5:$AJ$646,28,)/VLOOKUP($D141,$C$5:$AJ$646,4,))*$F141))</f>
        <v>0</v>
      </c>
      <c r="AE141" s="98"/>
      <c r="AF141" s="98">
        <f>IF(VLOOKUP($D141,$C$5:$AJ$646,30,)=0,0,((VLOOKUP($D141,$C$5:$AJ$646,30,)/VLOOKUP($D141,$C$5:$AJ$646,4,))*$F141))</f>
        <v>0</v>
      </c>
      <c r="AG141" s="98"/>
      <c r="AH141" s="98">
        <f>IF(VLOOKUP($D141,$C$5:$AJ$646,32,)=0,0,((VLOOKUP($D141,$C$5:$AJ$646,32,)/VLOOKUP($D141,$C$5:$AJ$646,4,))*$F141))</f>
        <v>0</v>
      </c>
      <c r="AI141" s="98"/>
      <c r="AJ141" s="98">
        <f>IF(VLOOKUP($D141,$C$5:$AJ$646,34,)=0,0,((VLOOKUP($D141,$C$5:$AJ$646,34,)/VLOOKUP($D141,$C$5:$AJ$646,4,))*$F141))</f>
        <v>0</v>
      </c>
      <c r="AK141" s="98">
        <f>SUM(H141:AJ141)</f>
        <v>2936188.7806725092</v>
      </c>
      <c r="AL141" s="95" t="str">
        <f>IF(ABS(AK141-F141)&lt;1,"ok","err")</f>
        <v>ok</v>
      </c>
    </row>
    <row r="142" spans="1:39" x14ac:dyDescent="0.25">
      <c r="A142" s="94" t="s">
        <v>2276</v>
      </c>
      <c r="D142" s="94" t="s">
        <v>882</v>
      </c>
      <c r="F142" s="97">
        <f>46378395+3062358</f>
        <v>49440753</v>
      </c>
      <c r="H142" s="98">
        <f>IF(VLOOKUP($D142,$C$5:$AJ$646,6,)=0,0,((VLOOKUP($D142,$C$5:$AJ$646,6,)/VLOOKUP($D142,$C$5:$AJ$646,4,))*$F142))</f>
        <v>16985196.523534637</v>
      </c>
      <c r="I142" s="98">
        <f>IF(VLOOKUP($D142,$C$5:$AJ$646,7,)=0,0,((VLOOKUP($D142,$C$5:$AJ$646,7,)/VLOOKUP($D142,$C$5:$AJ$646,4,))*$F142))</f>
        <v>16011566.819059195</v>
      </c>
      <c r="J142" s="98">
        <f>IF(VLOOKUP($D142,$C$5:$AJ$646,8,)=0,0,((VLOOKUP($D142,$C$5:$AJ$646,8,)/VLOOKUP($D142,$C$5:$AJ$646,4,))*$F142))</f>
        <v>16443989.657406168</v>
      </c>
      <c r="K142" s="98">
        <f>IF(VLOOKUP($D142,$C$5:$AJ$646,9,)=0,0,((VLOOKUP($D142,$C$5:$AJ$646,9,)/VLOOKUP($D142,$C$5:$AJ$646,4,))*$F142))</f>
        <v>0</v>
      </c>
      <c r="L142" s="98">
        <f>IF(VLOOKUP($D142,$C$5:$AJ$646,10,)=0,0,((VLOOKUP($D142,$C$5:$AJ$646,10,)/VLOOKUP($D142,$C$5:$AJ$646,4,))*$F142))</f>
        <v>0</v>
      </c>
      <c r="M142" s="98">
        <f>IF(VLOOKUP($D142,$C$5:$AJ$646,11,)=0,0,((VLOOKUP($D142,$C$5:$AJ$646,11,)/VLOOKUP($D142,$C$5:$AJ$646,4,))*$F142))</f>
        <v>0</v>
      </c>
      <c r="N142" s="98"/>
      <c r="O142" s="98">
        <f>IF(VLOOKUP($D142,$C$5:$AJ$646,13,)=0,0,((VLOOKUP($D142,$C$5:$AJ$646,13,)/VLOOKUP($D142,$C$5:$AJ$646,4,))*$F142))</f>
        <v>0</v>
      </c>
      <c r="P142" s="98">
        <f>IF(VLOOKUP($D142,$C$5:$AJ$646,14,)=0,0,((VLOOKUP($D142,$C$5:$AJ$646,14,)/VLOOKUP($D142,$C$5:$AJ$646,4,))*$F142))</f>
        <v>0</v>
      </c>
      <c r="Q142" s="98">
        <f>IF(VLOOKUP($D142,$C$5:$AJ$646,15,)=0,0,((VLOOKUP($D142,$C$5:$AJ$646,15,)/VLOOKUP($D142,$C$5:$AJ$646,4,))*$F142))</f>
        <v>0</v>
      </c>
      <c r="R142" s="98"/>
      <c r="S142" s="98">
        <f>IF(VLOOKUP($D142,$C$5:$AJ$646,17,)=0,0,((VLOOKUP($D142,$C$5:$AJ$646,17,)/VLOOKUP($D142,$C$5:$AJ$646,4,))*$F142))</f>
        <v>0</v>
      </c>
      <c r="T142" s="98">
        <f>IF(VLOOKUP($D142,$C$5:$AJ$646,18,)=0,0,((VLOOKUP($D142,$C$5:$AJ$646,18,)/VLOOKUP($D142,$C$5:$AJ$646,4,))*$F142))</f>
        <v>0</v>
      </c>
      <c r="U142" s="98">
        <f>IF(VLOOKUP($D142,$C$5:$AJ$646,19,)=0,0,((VLOOKUP($D142,$C$5:$AJ$646,19,)/VLOOKUP($D142,$C$5:$AJ$646,4,))*$F142))</f>
        <v>0</v>
      </c>
      <c r="V142" s="98">
        <f>IF(VLOOKUP($D142,$C$5:$AJ$646,20,)=0,0,((VLOOKUP($D142,$C$5:$AJ$646,20,)/VLOOKUP($D142,$C$5:$AJ$646,4,))*$F142))</f>
        <v>0</v>
      </c>
      <c r="W142" s="98">
        <f>IF(VLOOKUP($D142,$C$5:$AJ$646,21,)=0,0,((VLOOKUP($D142,$C$5:$AJ$646,21,)/VLOOKUP($D142,$C$5:$AJ$646,4,))*$F142))</f>
        <v>0</v>
      </c>
      <c r="X142" s="98">
        <f>IF(VLOOKUP($D142,$C$5:$AJ$646,22,)=0,0,((VLOOKUP($D142,$C$5:$AJ$646,22,)/VLOOKUP($D142,$C$5:$AJ$646,4,))*$F142))</f>
        <v>0</v>
      </c>
      <c r="Y142" s="98">
        <f>IF(VLOOKUP($D142,$C$5:$AJ$646,23,)=0,0,((VLOOKUP($D142,$C$5:$AJ$646,23,)/VLOOKUP($D142,$C$5:$AJ$646,4,))*$F142))</f>
        <v>0</v>
      </c>
      <c r="Z142" s="98">
        <f>IF(VLOOKUP($D142,$C$5:$AJ$646,24,)=0,0,((VLOOKUP($D142,$C$5:$AJ$646,24,)/VLOOKUP($D142,$C$5:$AJ$646,4,))*$F142))</f>
        <v>0</v>
      </c>
      <c r="AA142" s="98">
        <f>IF(VLOOKUP($D142,$C$5:$AJ$646,25,)=0,0,((VLOOKUP($D142,$C$5:$AJ$646,25,)/VLOOKUP($D142,$C$5:$AJ$646,4,))*$F142))</f>
        <v>0</v>
      </c>
      <c r="AB142" s="98">
        <f>IF(VLOOKUP($D142,$C$5:$AJ$646,26,)=0,0,((VLOOKUP($D142,$C$5:$AJ$646,26,)/VLOOKUP($D142,$C$5:$AJ$646,4,))*$F142))</f>
        <v>0</v>
      </c>
      <c r="AC142" s="98">
        <f>IF(VLOOKUP($D142,$C$5:$AJ$646,27,)=0,0,((VLOOKUP($D142,$C$5:$AJ$646,27,)/VLOOKUP($D142,$C$5:$AJ$646,4,))*$F142))</f>
        <v>0</v>
      </c>
      <c r="AD142" s="98">
        <f>IF(VLOOKUP($D142,$C$5:$AJ$646,28,)=0,0,((VLOOKUP($D142,$C$5:$AJ$646,28,)/VLOOKUP($D142,$C$5:$AJ$646,4,))*$F142))</f>
        <v>0</v>
      </c>
      <c r="AE142" s="98"/>
      <c r="AF142" s="98">
        <f>IF(VLOOKUP($D142,$C$5:$AJ$646,30,)=0,0,((VLOOKUP($D142,$C$5:$AJ$646,30,)/VLOOKUP($D142,$C$5:$AJ$646,4,))*$F142))</f>
        <v>0</v>
      </c>
      <c r="AG142" s="98"/>
      <c r="AH142" s="98">
        <f>IF(VLOOKUP($D142,$C$5:$AJ$646,32,)=0,0,((VLOOKUP($D142,$C$5:$AJ$646,32,)/VLOOKUP($D142,$C$5:$AJ$646,4,))*$F142))</f>
        <v>0</v>
      </c>
      <c r="AI142" s="98"/>
      <c r="AJ142" s="98">
        <f>IF(VLOOKUP($D142,$C$5:$AJ$646,34,)=0,0,((VLOOKUP($D142,$C$5:$AJ$646,34,)/VLOOKUP($D142,$C$5:$AJ$646,4,))*$F142))</f>
        <v>0</v>
      </c>
      <c r="AK142" s="98">
        <f>SUM(H142:AJ142)</f>
        <v>49440753</v>
      </c>
      <c r="AL142" s="95" t="str">
        <f>IF(ABS(AK142-F142)&lt;1,"ok","err")</f>
        <v>ok</v>
      </c>
    </row>
    <row r="143" spans="1:39" x14ac:dyDescent="0.25">
      <c r="F143" s="97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  <c r="AD143" s="98"/>
      <c r="AE143" s="98"/>
      <c r="AF143" s="98"/>
      <c r="AG143" s="98"/>
      <c r="AH143" s="98"/>
      <c r="AI143" s="98"/>
      <c r="AJ143" s="98"/>
      <c r="AK143" s="98"/>
      <c r="AL143" s="95"/>
    </row>
    <row r="144" spans="1:39" x14ac:dyDescent="0.25">
      <c r="A144" s="16" t="s">
        <v>953</v>
      </c>
      <c r="C144" s="94" t="s">
        <v>954</v>
      </c>
      <c r="F144" s="99">
        <f>F95-F107+F116-F141+F118-F140-F142</f>
        <v>3500935145.9468842</v>
      </c>
      <c r="G144" s="99">
        <f>G95-G107+G116-G141+G118-G140</f>
        <v>0</v>
      </c>
      <c r="H144" s="99">
        <f t="shared" ref="H144:AJ144" si="110">H95-H107+H116-H141+H118-H140-H142</f>
        <v>795163003.29038906</v>
      </c>
      <c r="I144" s="99">
        <f t="shared" si="110"/>
        <v>749582469.74574006</v>
      </c>
      <c r="J144" s="99">
        <f t="shared" si="110"/>
        <v>769826371.09565389</v>
      </c>
      <c r="K144" s="99">
        <f t="shared" si="110"/>
        <v>66178542.027407862</v>
      </c>
      <c r="L144" s="99">
        <f t="shared" si="110"/>
        <v>0</v>
      </c>
      <c r="M144" s="99">
        <f t="shared" si="110"/>
        <v>0</v>
      </c>
      <c r="N144" s="99">
        <f t="shared" si="110"/>
        <v>0</v>
      </c>
      <c r="O144" s="99">
        <f t="shared" si="110"/>
        <v>105339535.243157</v>
      </c>
      <c r="P144" s="99">
        <f t="shared" si="110"/>
        <v>99301235.926086023</v>
      </c>
      <c r="Q144" s="99">
        <f t="shared" si="110"/>
        <v>101983054.81213078</v>
      </c>
      <c r="R144" s="99">
        <f t="shared" si="110"/>
        <v>0</v>
      </c>
      <c r="S144" s="99">
        <f t="shared" si="110"/>
        <v>0</v>
      </c>
      <c r="T144" s="99">
        <f t="shared" si="110"/>
        <v>87734861.768873423</v>
      </c>
      <c r="U144" s="99">
        <f t="shared" si="110"/>
        <v>0</v>
      </c>
      <c r="V144" s="99">
        <f t="shared" si="110"/>
        <v>142096650.95666647</v>
      </c>
      <c r="W144" s="99">
        <f t="shared" si="110"/>
        <v>203041900.0404273</v>
      </c>
      <c r="X144" s="99">
        <f t="shared" si="110"/>
        <v>25075879.580588199</v>
      </c>
      <c r="Y144" s="99">
        <f t="shared" si="110"/>
        <v>35830923.536545992</v>
      </c>
      <c r="Z144" s="99">
        <f t="shared" si="110"/>
        <v>87891943.970627069</v>
      </c>
      <c r="AA144" s="99">
        <f t="shared" si="110"/>
        <v>75203145.973011956</v>
      </c>
      <c r="AB144" s="99">
        <f t="shared" si="110"/>
        <v>50406261.893416151</v>
      </c>
      <c r="AC144" s="99">
        <f t="shared" si="110"/>
        <v>40962403.651307575</v>
      </c>
      <c r="AD144" s="99">
        <f t="shared" si="110"/>
        <v>58662875.849426992</v>
      </c>
      <c r="AE144" s="99">
        <f t="shared" si="110"/>
        <v>0</v>
      </c>
      <c r="AF144" s="99">
        <f t="shared" si="110"/>
        <v>4672230.2343217088</v>
      </c>
      <c r="AG144" s="99">
        <f t="shared" si="110"/>
        <v>0</v>
      </c>
      <c r="AH144" s="99">
        <f t="shared" si="110"/>
        <v>1981856.3511057806</v>
      </c>
      <c r="AI144" s="99">
        <f t="shared" si="110"/>
        <v>0</v>
      </c>
      <c r="AJ144" s="99">
        <f t="shared" si="110"/>
        <v>0</v>
      </c>
      <c r="AK144" s="98">
        <f>SUM(H144:AJ144)</f>
        <v>3500935145.9468822</v>
      </c>
      <c r="AL144" s="95" t="str">
        <f>IF(ABS(AK144-F144)&lt;1,"ok","err")</f>
        <v>ok</v>
      </c>
      <c r="AM144" s="106">
        <f>+AK144-F144</f>
        <v>0</v>
      </c>
    </row>
    <row r="145" spans="1:38" x14ac:dyDescent="0.25">
      <c r="Y145" s="94"/>
      <c r="AL145" s="95"/>
    </row>
    <row r="146" spans="1:38" x14ac:dyDescent="0.25">
      <c r="A146" s="15" t="s">
        <v>945</v>
      </c>
      <c r="H146" s="99"/>
      <c r="O146" s="99"/>
      <c r="Y146" s="94"/>
      <c r="AL146" s="95"/>
    </row>
    <row r="147" spans="1:38" x14ac:dyDescent="0.25">
      <c r="A147" s="15"/>
      <c r="Y147" s="94"/>
      <c r="AL147" s="95"/>
    </row>
    <row r="148" spans="1:38" x14ac:dyDescent="0.25">
      <c r="A148" s="16" t="s">
        <v>1929</v>
      </c>
      <c r="Y148" s="94"/>
      <c r="AL148" s="95"/>
    </row>
    <row r="149" spans="1:38" x14ac:dyDescent="0.25">
      <c r="A149" s="94">
        <v>500</v>
      </c>
      <c r="B149" s="94" t="s">
        <v>1921</v>
      </c>
      <c r="C149" s="94" t="s">
        <v>1922</v>
      </c>
      <c r="D149" s="94" t="s">
        <v>883</v>
      </c>
      <c r="F149" s="97">
        <f>'Jurisdictional Study'!F938</f>
        <v>5020058.5214573201</v>
      </c>
      <c r="H149" s="98">
        <f>IF(VLOOKUP($D149,$C$5:$AJ$646,6,)=0,0,((VLOOKUP($D149,$C$5:$AJ$646,6,)/VLOOKUP($D149,$C$5:$AJ$646,4,))*$F149))</f>
        <v>1429632.991925698</v>
      </c>
      <c r="I149" s="98">
        <f>IF(VLOOKUP($D149,$C$5:$AJ$646,7,)=0,0,((VLOOKUP($D149,$C$5:$AJ$646,7,)/VLOOKUP($D149,$C$5:$AJ$646,4,))*$F149))</f>
        <v>1347683.2102138232</v>
      </c>
      <c r="J149" s="98">
        <f>IF(VLOOKUP($D149,$C$5:$AJ$646,8,)=0,0,((VLOOKUP($D149,$C$5:$AJ$646,8,)/VLOOKUP($D149,$C$5:$AJ$646,4,))*$F149))</f>
        <v>1384079.9604843543</v>
      </c>
      <c r="K149" s="98">
        <f>IF(VLOOKUP($D149,$C$5:$AJ$646,9,)=0,0,((VLOOKUP($D149,$C$5:$AJ$646,9,)/VLOOKUP($D149,$C$5:$AJ$646,4,))*$F149))</f>
        <v>858662.35883344489</v>
      </c>
      <c r="L149" s="98">
        <f>IF(VLOOKUP($D149,$C$5:$AJ$646,10,)=0,0,((VLOOKUP($D149,$C$5:$AJ$646,10,)/VLOOKUP($D149,$C$5:$AJ$646,4,))*$F149))</f>
        <v>0</v>
      </c>
      <c r="M149" s="98">
        <f>IF(VLOOKUP($D149,$C$5:$AJ$646,11,)=0,0,((VLOOKUP($D149,$C$5:$AJ$646,11,)/VLOOKUP($D149,$C$5:$AJ$646,4,))*$F149))</f>
        <v>0</v>
      </c>
      <c r="N149" s="98"/>
      <c r="O149" s="98">
        <f>IF(VLOOKUP($D149,$C$5:$AJ$646,13,)=0,0,((VLOOKUP($D149,$C$5:$AJ$646,13,)/VLOOKUP($D149,$C$5:$AJ$646,4,))*$F149))</f>
        <v>0</v>
      </c>
      <c r="P149" s="98">
        <f>IF(VLOOKUP($D149,$C$5:$AJ$646,14,)=0,0,((VLOOKUP($D149,$C$5:$AJ$646,14,)/VLOOKUP($D149,$C$5:$AJ$646,4,))*$F149))</f>
        <v>0</v>
      </c>
      <c r="Q149" s="98">
        <f>IF(VLOOKUP($D149,$C$5:$AJ$646,15,)=0,0,((VLOOKUP($D149,$C$5:$AJ$646,15,)/VLOOKUP($D149,$C$5:$AJ$646,4,))*$F149))</f>
        <v>0</v>
      </c>
      <c r="R149" s="98"/>
      <c r="S149" s="98">
        <f>IF(VLOOKUP($D149,$C$5:$AJ$646,17,)=0,0,((VLOOKUP($D149,$C$5:$AJ$646,17,)/VLOOKUP($D149,$C$5:$AJ$646,4,))*$F149))</f>
        <v>0</v>
      </c>
      <c r="T149" s="98">
        <f>IF(VLOOKUP($D149,$C$5:$AJ$646,18,)=0,0,((VLOOKUP($D149,$C$5:$AJ$646,18,)/VLOOKUP($D149,$C$5:$AJ$646,4,))*$F149))</f>
        <v>0</v>
      </c>
      <c r="U149" s="98">
        <f>IF(VLOOKUP($D149,$C$5:$AJ$646,19,)=0,0,((VLOOKUP($D149,$C$5:$AJ$646,19,)/VLOOKUP($D149,$C$5:$AJ$646,4,))*$F149))</f>
        <v>0</v>
      </c>
      <c r="V149" s="98">
        <f>IF(VLOOKUP($D149,$C$5:$AJ$646,20,)=0,0,((VLOOKUP($D149,$C$5:$AJ$646,20,)/VLOOKUP($D149,$C$5:$AJ$646,4,))*$F149))</f>
        <v>0</v>
      </c>
      <c r="W149" s="98">
        <f>IF(VLOOKUP($D149,$C$5:$AJ$646,21,)=0,0,((VLOOKUP($D149,$C$5:$AJ$646,21,)/VLOOKUP($D149,$C$5:$AJ$646,4,))*$F149))</f>
        <v>0</v>
      </c>
      <c r="X149" s="98">
        <f>IF(VLOOKUP($D149,$C$5:$AJ$646,22,)=0,0,((VLOOKUP($D149,$C$5:$AJ$646,22,)/VLOOKUP($D149,$C$5:$AJ$646,4,))*$F149))</f>
        <v>0</v>
      </c>
      <c r="Y149" s="98">
        <f>IF(VLOOKUP($D149,$C$5:$AJ$646,23,)=0,0,((VLOOKUP($D149,$C$5:$AJ$646,23,)/VLOOKUP($D149,$C$5:$AJ$646,4,))*$F149))</f>
        <v>0</v>
      </c>
      <c r="Z149" s="98">
        <f>IF(VLOOKUP($D149,$C$5:$AJ$646,24,)=0,0,((VLOOKUP($D149,$C$5:$AJ$646,24,)/VLOOKUP($D149,$C$5:$AJ$646,4,))*$F149))</f>
        <v>0</v>
      </c>
      <c r="AA149" s="98">
        <f>IF(VLOOKUP($D149,$C$5:$AJ$646,25,)=0,0,((VLOOKUP($D149,$C$5:$AJ$646,25,)/VLOOKUP($D149,$C$5:$AJ$646,4,))*$F149))</f>
        <v>0</v>
      </c>
      <c r="AB149" s="98">
        <f>IF(VLOOKUP($D149,$C$5:$AJ$646,26,)=0,0,((VLOOKUP($D149,$C$5:$AJ$646,26,)/VLOOKUP($D149,$C$5:$AJ$646,4,))*$F149))</f>
        <v>0</v>
      </c>
      <c r="AC149" s="98">
        <f>IF(VLOOKUP($D149,$C$5:$AJ$646,27,)=0,0,((VLOOKUP($D149,$C$5:$AJ$646,27,)/VLOOKUP($D149,$C$5:$AJ$646,4,))*$F149))</f>
        <v>0</v>
      </c>
      <c r="AD149" s="98">
        <f>IF(VLOOKUP($D149,$C$5:$AJ$646,28,)=0,0,((VLOOKUP($D149,$C$5:$AJ$646,28,)/VLOOKUP($D149,$C$5:$AJ$646,4,))*$F149))</f>
        <v>0</v>
      </c>
      <c r="AE149" s="98"/>
      <c r="AF149" s="98">
        <f>IF(VLOOKUP($D149,$C$5:$AJ$646,30,)=0,0,((VLOOKUP($D149,$C$5:$AJ$646,30,)/VLOOKUP($D149,$C$5:$AJ$646,4,))*$F149))</f>
        <v>0</v>
      </c>
      <c r="AG149" s="98"/>
      <c r="AH149" s="98">
        <f>IF(VLOOKUP($D149,$C$5:$AJ$646,32,)=0,0,((VLOOKUP($D149,$C$5:$AJ$646,32,)/VLOOKUP($D149,$C$5:$AJ$646,4,))*$F149))</f>
        <v>0</v>
      </c>
      <c r="AI149" s="98"/>
      <c r="AJ149" s="98">
        <f>IF(VLOOKUP($D149,$C$5:$AJ$646,34,)=0,0,((VLOOKUP($D149,$C$5:$AJ$646,34,)/VLOOKUP($D149,$C$5:$AJ$646,4,))*$F149))</f>
        <v>0</v>
      </c>
      <c r="AK149" s="98">
        <f t="shared" ref="AK149:AK154" si="111">SUM(H149:AJ149)</f>
        <v>5020058.5214573201</v>
      </c>
      <c r="AL149" s="95" t="str">
        <f t="shared" ref="AL149:AL154" si="112">IF(ABS(AK149-F149)&lt;1,"ok","err")</f>
        <v>ok</v>
      </c>
    </row>
    <row r="150" spans="1:38" x14ac:dyDescent="0.25">
      <c r="A150" s="108">
        <v>501</v>
      </c>
      <c r="B150" s="94" t="s">
        <v>1923</v>
      </c>
      <c r="C150" s="94" t="s">
        <v>1924</v>
      </c>
      <c r="D150" s="94" t="s">
        <v>124</v>
      </c>
      <c r="F150" s="98">
        <f>'Jurisdictional Study'!F939</f>
        <v>420872445.06242895</v>
      </c>
      <c r="H150" s="98">
        <f>IF(VLOOKUP($D150,$C$5:$AJ$646,6,)=0,0,((VLOOKUP($D150,$C$5:$AJ$646,6,)/VLOOKUP($D150,$C$5:$AJ$646,4,))*$F150))</f>
        <v>0</v>
      </c>
      <c r="I150" s="98">
        <f>IF(VLOOKUP($D150,$C$5:$AJ$646,7,)=0,0,((VLOOKUP($D150,$C$5:$AJ$646,7,)/VLOOKUP($D150,$C$5:$AJ$646,4,))*$F150))</f>
        <v>0</v>
      </c>
      <c r="J150" s="98">
        <f>IF(VLOOKUP($D150,$C$5:$AJ$646,8,)=0,0,((VLOOKUP($D150,$C$5:$AJ$646,8,)/VLOOKUP($D150,$C$5:$AJ$646,4,))*$F150))</f>
        <v>0</v>
      </c>
      <c r="K150" s="98">
        <f>IF(VLOOKUP($D150,$C$5:$AJ$646,9,)=0,0,((VLOOKUP($D150,$C$5:$AJ$646,9,)/VLOOKUP($D150,$C$5:$AJ$646,4,))*$F150))</f>
        <v>420872445.06242895</v>
      </c>
      <c r="L150" s="98">
        <f>IF(VLOOKUP($D150,$C$5:$AJ$646,10,)=0,0,((VLOOKUP($D150,$C$5:$AJ$646,10,)/VLOOKUP($D150,$C$5:$AJ$646,4,))*$F150))</f>
        <v>0</v>
      </c>
      <c r="M150" s="98">
        <f>IF(VLOOKUP($D150,$C$5:$AJ$646,11,)=0,0,((VLOOKUP($D150,$C$5:$AJ$646,11,)/VLOOKUP($D150,$C$5:$AJ$646,4,))*$F150))</f>
        <v>0</v>
      </c>
      <c r="N150" s="98"/>
      <c r="O150" s="98">
        <f>IF(VLOOKUP($D150,$C$5:$AJ$646,13,)=0,0,((VLOOKUP($D150,$C$5:$AJ$646,13,)/VLOOKUP($D150,$C$5:$AJ$646,4,))*$F150))</f>
        <v>0</v>
      </c>
      <c r="P150" s="98">
        <f>IF(VLOOKUP($D150,$C$5:$AJ$646,14,)=0,0,((VLOOKUP($D150,$C$5:$AJ$646,14,)/VLOOKUP($D150,$C$5:$AJ$646,4,))*$F150))</f>
        <v>0</v>
      </c>
      <c r="Q150" s="98">
        <f>IF(VLOOKUP($D150,$C$5:$AJ$646,15,)=0,0,((VLOOKUP($D150,$C$5:$AJ$646,15,)/VLOOKUP($D150,$C$5:$AJ$646,4,))*$F150))</f>
        <v>0</v>
      </c>
      <c r="R150" s="98"/>
      <c r="S150" s="98">
        <f>IF(VLOOKUP($D150,$C$5:$AJ$646,17,)=0,0,((VLOOKUP($D150,$C$5:$AJ$646,17,)/VLOOKUP($D150,$C$5:$AJ$646,4,))*$F150))</f>
        <v>0</v>
      </c>
      <c r="T150" s="98">
        <f>IF(VLOOKUP($D150,$C$5:$AJ$646,18,)=0,0,((VLOOKUP($D150,$C$5:$AJ$646,18,)/VLOOKUP($D150,$C$5:$AJ$646,4,))*$F150))</f>
        <v>0</v>
      </c>
      <c r="U150" s="98">
        <f>IF(VLOOKUP($D150,$C$5:$AJ$646,19,)=0,0,((VLOOKUP($D150,$C$5:$AJ$646,19,)/VLOOKUP($D150,$C$5:$AJ$646,4,))*$F150))</f>
        <v>0</v>
      </c>
      <c r="V150" s="98">
        <f>IF(VLOOKUP($D150,$C$5:$AJ$646,20,)=0,0,((VLOOKUP($D150,$C$5:$AJ$646,20,)/VLOOKUP($D150,$C$5:$AJ$646,4,))*$F150))</f>
        <v>0</v>
      </c>
      <c r="W150" s="98">
        <f>IF(VLOOKUP($D150,$C$5:$AJ$646,21,)=0,0,((VLOOKUP($D150,$C$5:$AJ$646,21,)/VLOOKUP($D150,$C$5:$AJ$646,4,))*$F150))</f>
        <v>0</v>
      </c>
      <c r="X150" s="98">
        <f>IF(VLOOKUP($D150,$C$5:$AJ$646,22,)=0,0,((VLOOKUP($D150,$C$5:$AJ$646,22,)/VLOOKUP($D150,$C$5:$AJ$646,4,))*$F150))</f>
        <v>0</v>
      </c>
      <c r="Y150" s="98">
        <f>IF(VLOOKUP($D150,$C$5:$AJ$646,23,)=0,0,((VLOOKUP($D150,$C$5:$AJ$646,23,)/VLOOKUP($D150,$C$5:$AJ$646,4,))*$F150))</f>
        <v>0</v>
      </c>
      <c r="Z150" s="98">
        <f>IF(VLOOKUP($D150,$C$5:$AJ$646,24,)=0,0,((VLOOKUP($D150,$C$5:$AJ$646,24,)/VLOOKUP($D150,$C$5:$AJ$646,4,))*$F150))</f>
        <v>0</v>
      </c>
      <c r="AA150" s="98">
        <f>IF(VLOOKUP($D150,$C$5:$AJ$646,25,)=0,0,((VLOOKUP($D150,$C$5:$AJ$646,25,)/VLOOKUP($D150,$C$5:$AJ$646,4,))*$F150))</f>
        <v>0</v>
      </c>
      <c r="AB150" s="98">
        <f>IF(VLOOKUP($D150,$C$5:$AJ$646,26,)=0,0,((VLOOKUP($D150,$C$5:$AJ$646,26,)/VLOOKUP($D150,$C$5:$AJ$646,4,))*$F150))</f>
        <v>0</v>
      </c>
      <c r="AC150" s="98">
        <f>IF(VLOOKUP($D150,$C$5:$AJ$646,27,)=0,0,((VLOOKUP($D150,$C$5:$AJ$646,27,)/VLOOKUP($D150,$C$5:$AJ$646,4,))*$F150))</f>
        <v>0</v>
      </c>
      <c r="AD150" s="98">
        <f>IF(VLOOKUP($D150,$C$5:$AJ$646,28,)=0,0,((VLOOKUP($D150,$C$5:$AJ$646,28,)/VLOOKUP($D150,$C$5:$AJ$646,4,))*$F150))</f>
        <v>0</v>
      </c>
      <c r="AE150" s="98"/>
      <c r="AF150" s="98">
        <f>IF(VLOOKUP($D150,$C$5:$AJ$646,30,)=0,0,((VLOOKUP($D150,$C$5:$AJ$646,30,)/VLOOKUP($D150,$C$5:$AJ$646,4,))*$F150))</f>
        <v>0</v>
      </c>
      <c r="AG150" s="98"/>
      <c r="AH150" s="98">
        <f>IF(VLOOKUP($D150,$C$5:$AJ$646,32,)=0,0,((VLOOKUP($D150,$C$5:$AJ$646,32,)/VLOOKUP($D150,$C$5:$AJ$646,4,))*$F150))</f>
        <v>0</v>
      </c>
      <c r="AI150" s="98"/>
      <c r="AJ150" s="98">
        <f>IF(VLOOKUP($D150,$C$5:$AJ$646,34,)=0,0,((VLOOKUP($D150,$C$5:$AJ$646,34,)/VLOOKUP($D150,$C$5:$AJ$646,4,))*$F150))</f>
        <v>0</v>
      </c>
      <c r="AK150" s="98">
        <f t="shared" si="111"/>
        <v>420872445.06242895</v>
      </c>
      <c r="AL150" s="95" t="str">
        <f t="shared" si="112"/>
        <v>ok</v>
      </c>
    </row>
    <row r="151" spans="1:38" x14ac:dyDescent="0.25">
      <c r="A151" s="94">
        <v>502</v>
      </c>
      <c r="B151" s="94" t="s">
        <v>1925</v>
      </c>
      <c r="C151" s="94" t="s">
        <v>1926</v>
      </c>
      <c r="F151" s="98">
        <f>'Jurisdictional Study'!F941</f>
        <v>15103336.244892649</v>
      </c>
      <c r="H151" s="98">
        <f t="shared" ref="H151:J152" si="113">H361</f>
        <v>2713161.2369598211</v>
      </c>
      <c r="I151" s="98">
        <f t="shared" si="113"/>
        <v>2557636.7265618872</v>
      </c>
      <c r="J151" s="98">
        <f t="shared" si="113"/>
        <v>2626710.5745655606</v>
      </c>
      <c r="K151" s="98">
        <f>F151-H151-I151-J151</f>
        <v>7205827.706805381</v>
      </c>
      <c r="L151" s="98">
        <v>0</v>
      </c>
      <c r="M151" s="98">
        <v>0</v>
      </c>
      <c r="N151" s="98"/>
      <c r="O151" s="98">
        <v>0</v>
      </c>
      <c r="P151" s="98">
        <v>0</v>
      </c>
      <c r="Q151" s="98">
        <v>0</v>
      </c>
      <c r="R151" s="98"/>
      <c r="S151" s="98">
        <v>0</v>
      </c>
      <c r="T151" s="98">
        <v>0</v>
      </c>
      <c r="U151" s="98">
        <v>0</v>
      </c>
      <c r="V151" s="98">
        <v>0</v>
      </c>
      <c r="W151" s="98">
        <v>0</v>
      </c>
      <c r="X151" s="98">
        <v>0</v>
      </c>
      <c r="Y151" s="98">
        <v>0</v>
      </c>
      <c r="Z151" s="98">
        <v>0</v>
      </c>
      <c r="AA151" s="98">
        <v>0</v>
      </c>
      <c r="AB151" s="98">
        <v>0</v>
      </c>
      <c r="AC151" s="98">
        <v>0</v>
      </c>
      <c r="AD151" s="98">
        <v>0</v>
      </c>
      <c r="AE151" s="98"/>
      <c r="AF151" s="98">
        <v>0</v>
      </c>
      <c r="AG151" s="98"/>
      <c r="AH151" s="98">
        <v>0</v>
      </c>
      <c r="AI151" s="98"/>
      <c r="AJ151" s="98">
        <v>0</v>
      </c>
      <c r="AK151" s="98">
        <f t="shared" si="111"/>
        <v>15103336.244892649</v>
      </c>
      <c r="AL151" s="95" t="str">
        <f t="shared" si="112"/>
        <v>ok</v>
      </c>
    </row>
    <row r="152" spans="1:38" x14ac:dyDescent="0.25">
      <c r="A152" s="94">
        <v>505</v>
      </c>
      <c r="B152" s="94" t="s">
        <v>1927</v>
      </c>
      <c r="C152" s="94" t="s">
        <v>1928</v>
      </c>
      <c r="F152" s="98">
        <f>'Jurisdictional Study'!F942</f>
        <v>6200218.1498793196</v>
      </c>
      <c r="H152" s="98">
        <f t="shared" si="113"/>
        <v>1890730.3278861064</v>
      </c>
      <c r="I152" s="98">
        <f t="shared" si="113"/>
        <v>1782349.408782121</v>
      </c>
      <c r="J152" s="98">
        <f t="shared" si="113"/>
        <v>1830485.1470881428</v>
      </c>
      <c r="K152" s="98">
        <f>F152-H152-I152-J152</f>
        <v>696653.26612294954</v>
      </c>
      <c r="L152" s="98">
        <v>0</v>
      </c>
      <c r="M152" s="98">
        <v>0</v>
      </c>
      <c r="N152" s="98"/>
      <c r="O152" s="98">
        <v>0</v>
      </c>
      <c r="P152" s="98">
        <v>0</v>
      </c>
      <c r="Q152" s="98">
        <v>0</v>
      </c>
      <c r="R152" s="98"/>
      <c r="S152" s="98">
        <v>0</v>
      </c>
      <c r="T152" s="98">
        <v>0</v>
      </c>
      <c r="U152" s="98">
        <v>0</v>
      </c>
      <c r="V152" s="98">
        <v>0</v>
      </c>
      <c r="W152" s="98">
        <v>0</v>
      </c>
      <c r="X152" s="98">
        <v>0</v>
      </c>
      <c r="Y152" s="98">
        <v>0</v>
      </c>
      <c r="Z152" s="98">
        <v>0</v>
      </c>
      <c r="AA152" s="98">
        <v>0</v>
      </c>
      <c r="AB152" s="98">
        <v>0</v>
      </c>
      <c r="AC152" s="98">
        <v>0</v>
      </c>
      <c r="AD152" s="98">
        <v>0</v>
      </c>
      <c r="AE152" s="98"/>
      <c r="AF152" s="98">
        <v>0</v>
      </c>
      <c r="AG152" s="98"/>
      <c r="AH152" s="98">
        <v>0</v>
      </c>
      <c r="AI152" s="98"/>
      <c r="AJ152" s="98">
        <v>0</v>
      </c>
      <c r="AK152" s="98">
        <f t="shared" si="111"/>
        <v>6200218.1498793196</v>
      </c>
      <c r="AL152" s="95" t="str">
        <f t="shared" si="112"/>
        <v>ok</v>
      </c>
    </row>
    <row r="153" spans="1:38" x14ac:dyDescent="0.25">
      <c r="A153" s="94">
        <v>506</v>
      </c>
      <c r="B153" s="94" t="s">
        <v>1930</v>
      </c>
      <c r="C153" s="94" t="s">
        <v>1931</v>
      </c>
      <c r="D153" s="94" t="s">
        <v>885</v>
      </c>
      <c r="F153" s="98">
        <f>'Jurisdictional Study'!F943</f>
        <v>21102859.757187854</v>
      </c>
      <c r="H153" s="98">
        <f>IF(VLOOKUP($D153,$C$5:$AJ$646,6,)=0,0,((VLOOKUP($D153,$C$5:$AJ$646,6,)/VLOOKUP($D153,$C$5:$AJ$646,4,))*$F153))</f>
        <v>7249813.1285424819</v>
      </c>
      <c r="I153" s="98">
        <f>IF(VLOOKUP($D153,$C$5:$AJ$646,7,)=0,0,((VLOOKUP($D153,$C$5:$AJ$646,7,)/VLOOKUP($D153,$C$5:$AJ$646,4,))*$F153))</f>
        <v>6834237.5180946104</v>
      </c>
      <c r="J153" s="98">
        <f>IF(VLOOKUP($D153,$C$5:$AJ$646,8,)=0,0,((VLOOKUP($D153,$C$5:$AJ$646,8,)/VLOOKUP($D153,$C$5:$AJ$646,4,))*$F153))</f>
        <v>7018809.1105507622</v>
      </c>
      <c r="K153" s="98">
        <f>IF(VLOOKUP($D153,$C$5:$AJ$646,9,)=0,0,((VLOOKUP($D153,$C$5:$AJ$646,9,)/VLOOKUP($D153,$C$5:$AJ$646,4,))*$F153))</f>
        <v>0</v>
      </c>
      <c r="L153" s="98">
        <f>IF(VLOOKUP($D153,$C$5:$AJ$646,10,)=0,0,((VLOOKUP($D153,$C$5:$AJ$646,10,)/VLOOKUP($D153,$C$5:$AJ$646,4,))*$F153))</f>
        <v>0</v>
      </c>
      <c r="M153" s="98">
        <f>IF(VLOOKUP($D153,$C$5:$AJ$646,11,)=0,0,((VLOOKUP($D153,$C$5:$AJ$646,11,)/VLOOKUP($D153,$C$5:$AJ$646,4,))*$F153))</f>
        <v>0</v>
      </c>
      <c r="N153" s="98"/>
      <c r="O153" s="98">
        <f>IF(VLOOKUP($D153,$C$5:$AJ$646,13,)=0,0,((VLOOKUP($D153,$C$5:$AJ$646,13,)/VLOOKUP($D153,$C$5:$AJ$646,4,))*$F153))</f>
        <v>0</v>
      </c>
      <c r="P153" s="98">
        <f>IF(VLOOKUP($D153,$C$5:$AJ$646,14,)=0,0,((VLOOKUP($D153,$C$5:$AJ$646,14,)/VLOOKUP($D153,$C$5:$AJ$646,4,))*$F153))</f>
        <v>0</v>
      </c>
      <c r="Q153" s="98">
        <f>IF(VLOOKUP($D153,$C$5:$AJ$646,15,)=0,0,((VLOOKUP($D153,$C$5:$AJ$646,15,)/VLOOKUP($D153,$C$5:$AJ$646,4,))*$F153))</f>
        <v>0</v>
      </c>
      <c r="R153" s="98"/>
      <c r="S153" s="98">
        <f>IF(VLOOKUP($D153,$C$5:$AJ$646,17,)=0,0,((VLOOKUP($D153,$C$5:$AJ$646,17,)/VLOOKUP($D153,$C$5:$AJ$646,4,))*$F153))</f>
        <v>0</v>
      </c>
      <c r="T153" s="98">
        <f>IF(VLOOKUP($D153,$C$5:$AJ$646,18,)=0,0,((VLOOKUP($D153,$C$5:$AJ$646,18,)/VLOOKUP($D153,$C$5:$AJ$646,4,))*$F153))</f>
        <v>0</v>
      </c>
      <c r="U153" s="98">
        <f>IF(VLOOKUP($D153,$C$5:$AJ$646,19,)=0,0,((VLOOKUP($D153,$C$5:$AJ$646,19,)/VLOOKUP($D153,$C$5:$AJ$646,4,))*$F153))</f>
        <v>0</v>
      </c>
      <c r="V153" s="98">
        <f>IF(VLOOKUP($D153,$C$5:$AJ$646,20,)=0,0,((VLOOKUP($D153,$C$5:$AJ$646,20,)/VLOOKUP($D153,$C$5:$AJ$646,4,))*$F153))</f>
        <v>0</v>
      </c>
      <c r="W153" s="98">
        <f>IF(VLOOKUP($D153,$C$5:$AJ$646,21,)=0,0,((VLOOKUP($D153,$C$5:$AJ$646,21,)/VLOOKUP($D153,$C$5:$AJ$646,4,))*$F153))</f>
        <v>0</v>
      </c>
      <c r="X153" s="98">
        <f>IF(VLOOKUP($D153,$C$5:$AJ$646,22,)=0,0,((VLOOKUP($D153,$C$5:$AJ$646,22,)/VLOOKUP($D153,$C$5:$AJ$646,4,))*$F153))</f>
        <v>0</v>
      </c>
      <c r="Y153" s="98">
        <f>IF(VLOOKUP($D153,$C$5:$AJ$646,23,)=0,0,((VLOOKUP($D153,$C$5:$AJ$646,23,)/VLOOKUP($D153,$C$5:$AJ$646,4,))*$F153))</f>
        <v>0</v>
      </c>
      <c r="Z153" s="98">
        <f>IF(VLOOKUP($D153,$C$5:$AJ$646,24,)=0,0,((VLOOKUP($D153,$C$5:$AJ$646,24,)/VLOOKUP($D153,$C$5:$AJ$646,4,))*$F153))</f>
        <v>0</v>
      </c>
      <c r="AA153" s="98">
        <f>IF(VLOOKUP($D153,$C$5:$AJ$646,25,)=0,0,((VLOOKUP($D153,$C$5:$AJ$646,25,)/VLOOKUP($D153,$C$5:$AJ$646,4,))*$F153))</f>
        <v>0</v>
      </c>
      <c r="AB153" s="98">
        <f>IF(VLOOKUP($D153,$C$5:$AJ$646,26,)=0,0,((VLOOKUP($D153,$C$5:$AJ$646,26,)/VLOOKUP($D153,$C$5:$AJ$646,4,))*$F153))</f>
        <v>0</v>
      </c>
      <c r="AC153" s="98">
        <f>IF(VLOOKUP($D153,$C$5:$AJ$646,27,)=0,0,((VLOOKUP($D153,$C$5:$AJ$646,27,)/VLOOKUP($D153,$C$5:$AJ$646,4,))*$F153))</f>
        <v>0</v>
      </c>
      <c r="AD153" s="98">
        <f>IF(VLOOKUP($D153,$C$5:$AJ$646,28,)=0,0,((VLOOKUP($D153,$C$5:$AJ$646,28,)/VLOOKUP($D153,$C$5:$AJ$646,4,))*$F153))</f>
        <v>0</v>
      </c>
      <c r="AE153" s="98"/>
      <c r="AF153" s="98">
        <f>IF(VLOOKUP($D153,$C$5:$AJ$646,30,)=0,0,((VLOOKUP($D153,$C$5:$AJ$646,30,)/VLOOKUP($D153,$C$5:$AJ$646,4,))*$F153))</f>
        <v>0</v>
      </c>
      <c r="AG153" s="98"/>
      <c r="AH153" s="98">
        <f>IF(VLOOKUP($D153,$C$5:$AJ$646,32,)=0,0,((VLOOKUP($D153,$C$5:$AJ$646,32,)/VLOOKUP($D153,$C$5:$AJ$646,4,))*$F153))</f>
        <v>0</v>
      </c>
      <c r="AI153" s="98"/>
      <c r="AJ153" s="98">
        <f>IF(VLOOKUP($D153,$C$5:$AJ$646,34,)=0,0,((VLOOKUP($D153,$C$5:$AJ$646,34,)/VLOOKUP($D153,$C$5:$AJ$646,4,))*$F153))</f>
        <v>0</v>
      </c>
      <c r="AK153" s="98">
        <f t="shared" si="111"/>
        <v>21102859.757187854</v>
      </c>
      <c r="AL153" s="95" t="str">
        <f t="shared" si="112"/>
        <v>ok</v>
      </c>
    </row>
    <row r="154" spans="1:38" x14ac:dyDescent="0.25">
      <c r="A154" s="94">
        <v>507</v>
      </c>
      <c r="B154" s="94" t="s">
        <v>455</v>
      </c>
      <c r="C154" s="94" t="s">
        <v>2080</v>
      </c>
      <c r="D154" s="94" t="s">
        <v>885</v>
      </c>
      <c r="F154" s="98">
        <f>'Jurisdictional Study'!F944</f>
        <v>118989.87597427568</v>
      </c>
      <c r="H154" s="98">
        <f>IF(VLOOKUP($D154,$C$5:$AJ$646,6,)=0,0,((VLOOKUP($D154,$C$5:$AJ$646,6,)/VLOOKUP($D154,$C$5:$AJ$646,4,))*$F154))</f>
        <v>40878.552714075464</v>
      </c>
      <c r="I154" s="98">
        <f>IF(VLOOKUP($D154,$C$5:$AJ$646,7,)=0,0,((VLOOKUP($D154,$C$5:$AJ$646,7,)/VLOOKUP($D154,$C$5:$AJ$646,4,))*$F154))</f>
        <v>38535.302040275994</v>
      </c>
      <c r="J154" s="98">
        <f>IF(VLOOKUP($D154,$C$5:$AJ$646,8,)=0,0,((VLOOKUP($D154,$C$5:$AJ$646,8,)/VLOOKUP($D154,$C$5:$AJ$646,4,))*$F154))</f>
        <v>39576.021219924223</v>
      </c>
      <c r="K154" s="98">
        <f>IF(VLOOKUP($D154,$C$5:$AJ$646,9,)=0,0,((VLOOKUP($D154,$C$5:$AJ$646,9,)/VLOOKUP($D154,$C$5:$AJ$646,4,))*$F154))</f>
        <v>0</v>
      </c>
      <c r="L154" s="98">
        <f>IF(VLOOKUP($D154,$C$5:$AJ$646,10,)=0,0,((VLOOKUP($D154,$C$5:$AJ$646,10,)/VLOOKUP($D154,$C$5:$AJ$646,4,))*$F154))</f>
        <v>0</v>
      </c>
      <c r="M154" s="98">
        <f>IF(VLOOKUP($D154,$C$5:$AJ$646,11,)=0,0,((VLOOKUP($D154,$C$5:$AJ$646,11,)/VLOOKUP($D154,$C$5:$AJ$646,4,))*$F154))</f>
        <v>0</v>
      </c>
      <c r="N154" s="98"/>
      <c r="O154" s="98">
        <f>IF(VLOOKUP($D154,$C$5:$AJ$646,13,)=0,0,((VLOOKUP($D154,$C$5:$AJ$646,13,)/VLOOKUP($D154,$C$5:$AJ$646,4,))*$F154))</f>
        <v>0</v>
      </c>
      <c r="P154" s="98">
        <f>IF(VLOOKUP($D154,$C$5:$AJ$646,14,)=0,0,((VLOOKUP($D154,$C$5:$AJ$646,14,)/VLOOKUP($D154,$C$5:$AJ$646,4,))*$F154))</f>
        <v>0</v>
      </c>
      <c r="Q154" s="98">
        <f>IF(VLOOKUP($D154,$C$5:$AJ$646,15,)=0,0,((VLOOKUP($D154,$C$5:$AJ$646,15,)/VLOOKUP($D154,$C$5:$AJ$646,4,))*$F154))</f>
        <v>0</v>
      </c>
      <c r="R154" s="98"/>
      <c r="S154" s="98">
        <f>IF(VLOOKUP($D154,$C$5:$AJ$646,17,)=0,0,((VLOOKUP($D154,$C$5:$AJ$646,17,)/VLOOKUP($D154,$C$5:$AJ$646,4,))*$F154))</f>
        <v>0</v>
      </c>
      <c r="T154" s="98">
        <f>IF(VLOOKUP($D154,$C$5:$AJ$646,18,)=0,0,((VLOOKUP($D154,$C$5:$AJ$646,18,)/VLOOKUP($D154,$C$5:$AJ$646,4,))*$F154))</f>
        <v>0</v>
      </c>
      <c r="U154" s="98">
        <f>IF(VLOOKUP($D154,$C$5:$AJ$646,19,)=0,0,((VLOOKUP($D154,$C$5:$AJ$646,19,)/VLOOKUP($D154,$C$5:$AJ$646,4,))*$F154))</f>
        <v>0</v>
      </c>
      <c r="V154" s="98">
        <f>IF(VLOOKUP($D154,$C$5:$AJ$646,20,)=0,0,((VLOOKUP($D154,$C$5:$AJ$646,20,)/VLOOKUP($D154,$C$5:$AJ$646,4,))*$F154))</f>
        <v>0</v>
      </c>
      <c r="W154" s="98">
        <f>IF(VLOOKUP($D154,$C$5:$AJ$646,21,)=0,0,((VLOOKUP($D154,$C$5:$AJ$646,21,)/VLOOKUP($D154,$C$5:$AJ$646,4,))*$F154))</f>
        <v>0</v>
      </c>
      <c r="X154" s="98">
        <f>IF(VLOOKUP($D154,$C$5:$AJ$646,22,)=0,0,((VLOOKUP($D154,$C$5:$AJ$646,22,)/VLOOKUP($D154,$C$5:$AJ$646,4,))*$F154))</f>
        <v>0</v>
      </c>
      <c r="Y154" s="98">
        <f>IF(VLOOKUP($D154,$C$5:$AJ$646,23,)=0,0,((VLOOKUP($D154,$C$5:$AJ$646,23,)/VLOOKUP($D154,$C$5:$AJ$646,4,))*$F154))</f>
        <v>0</v>
      </c>
      <c r="Z154" s="98">
        <f>IF(VLOOKUP($D154,$C$5:$AJ$646,24,)=0,0,((VLOOKUP($D154,$C$5:$AJ$646,24,)/VLOOKUP($D154,$C$5:$AJ$646,4,))*$F154))</f>
        <v>0</v>
      </c>
      <c r="AA154" s="98">
        <f>IF(VLOOKUP($D154,$C$5:$AJ$646,25,)=0,0,((VLOOKUP($D154,$C$5:$AJ$646,25,)/VLOOKUP($D154,$C$5:$AJ$646,4,))*$F154))</f>
        <v>0</v>
      </c>
      <c r="AB154" s="98">
        <f>IF(VLOOKUP($D154,$C$5:$AJ$646,26,)=0,0,((VLOOKUP($D154,$C$5:$AJ$646,26,)/VLOOKUP($D154,$C$5:$AJ$646,4,))*$F154))</f>
        <v>0</v>
      </c>
      <c r="AC154" s="98">
        <f>IF(VLOOKUP($D154,$C$5:$AJ$646,27,)=0,0,((VLOOKUP($D154,$C$5:$AJ$646,27,)/VLOOKUP($D154,$C$5:$AJ$646,4,))*$F154))</f>
        <v>0</v>
      </c>
      <c r="AD154" s="98">
        <f>IF(VLOOKUP($D154,$C$5:$AJ$646,28,)=0,0,((VLOOKUP($D154,$C$5:$AJ$646,28,)/VLOOKUP($D154,$C$5:$AJ$646,4,))*$F154))</f>
        <v>0</v>
      </c>
      <c r="AE154" s="98"/>
      <c r="AF154" s="98">
        <f>IF(VLOOKUP($D154,$C$5:$AJ$646,30,)=0,0,((VLOOKUP($D154,$C$5:$AJ$646,30,)/VLOOKUP($D154,$C$5:$AJ$646,4,))*$F154))</f>
        <v>0</v>
      </c>
      <c r="AG154" s="98"/>
      <c r="AH154" s="98">
        <f>IF(VLOOKUP($D154,$C$5:$AJ$646,32,)=0,0,((VLOOKUP($D154,$C$5:$AJ$646,32,)/VLOOKUP($D154,$C$5:$AJ$646,4,))*$F154))</f>
        <v>0</v>
      </c>
      <c r="AI154" s="98"/>
      <c r="AJ154" s="98">
        <f>IF(VLOOKUP($D154,$C$5:$AJ$646,34,)=0,0,((VLOOKUP($D154,$C$5:$AJ$646,34,)/VLOOKUP($D154,$C$5:$AJ$646,4,))*$F154))</f>
        <v>0</v>
      </c>
      <c r="AK154" s="98">
        <f t="shared" si="111"/>
        <v>118989.87597427568</v>
      </c>
      <c r="AL154" s="95" t="str">
        <f t="shared" si="112"/>
        <v>ok</v>
      </c>
    </row>
    <row r="155" spans="1:38" x14ac:dyDescent="0.25">
      <c r="F155" s="97"/>
      <c r="Y155" s="94"/>
      <c r="AL155" s="95"/>
    </row>
    <row r="156" spans="1:38" x14ac:dyDescent="0.25">
      <c r="B156" s="94" t="s">
        <v>1932</v>
      </c>
      <c r="F156" s="97">
        <f>SUM(F149:F155)</f>
        <v>468417907.6118204</v>
      </c>
      <c r="H156" s="97">
        <f>SUM(H149:H155)</f>
        <v>13324216.238028184</v>
      </c>
      <c r="I156" s="97">
        <f t="shared" ref="I156:AK156" si="114">SUM(I149:I155)</f>
        <v>12560442.165692717</v>
      </c>
      <c r="J156" s="97">
        <f t="shared" si="114"/>
        <v>12899660.813908745</v>
      </c>
      <c r="K156" s="97">
        <f t="shared" si="114"/>
        <v>429633588.39419073</v>
      </c>
      <c r="L156" s="97">
        <f t="shared" si="114"/>
        <v>0</v>
      </c>
      <c r="M156" s="97">
        <f t="shared" si="114"/>
        <v>0</v>
      </c>
      <c r="O156" s="97">
        <f t="shared" si="114"/>
        <v>0</v>
      </c>
      <c r="P156" s="97">
        <f>SUM(P149:P155)</f>
        <v>0</v>
      </c>
      <c r="Q156" s="97">
        <f>SUM(Q149:Q155)</f>
        <v>0</v>
      </c>
      <c r="S156" s="97">
        <f t="shared" si="114"/>
        <v>0</v>
      </c>
      <c r="T156" s="97">
        <f t="shared" si="114"/>
        <v>0</v>
      </c>
      <c r="U156" s="97">
        <f t="shared" si="114"/>
        <v>0</v>
      </c>
      <c r="V156" s="97">
        <f t="shared" si="114"/>
        <v>0</v>
      </c>
      <c r="W156" s="97">
        <f>SUM(W149:W155)</f>
        <v>0</v>
      </c>
      <c r="X156" s="97">
        <f>SUM(X149:X155)</f>
        <v>0</v>
      </c>
      <c r="Y156" s="97">
        <f>SUM(Y149:Y155)</f>
        <v>0</v>
      </c>
      <c r="Z156" s="97">
        <f t="shared" si="114"/>
        <v>0</v>
      </c>
      <c r="AA156" s="97">
        <f t="shared" si="114"/>
        <v>0</v>
      </c>
      <c r="AB156" s="97">
        <f>SUM(AB149:AB155)</f>
        <v>0</v>
      </c>
      <c r="AC156" s="97">
        <f>SUM(AC149:AC155)</f>
        <v>0</v>
      </c>
      <c r="AD156" s="97">
        <f t="shared" si="114"/>
        <v>0</v>
      </c>
      <c r="AF156" s="97">
        <f t="shared" si="114"/>
        <v>0</v>
      </c>
      <c r="AH156" s="97">
        <f t="shared" si="114"/>
        <v>0</v>
      </c>
      <c r="AJ156" s="97">
        <f t="shared" si="114"/>
        <v>0</v>
      </c>
      <c r="AK156" s="97">
        <f t="shared" si="114"/>
        <v>468417907.6118204</v>
      </c>
      <c r="AL156" s="95" t="str">
        <f>IF(ABS(AK156-F156)&lt;1,"ok","err")</f>
        <v>ok</v>
      </c>
    </row>
    <row r="157" spans="1:38" x14ac:dyDescent="0.25">
      <c r="F157" s="97"/>
      <c r="Y157" s="94"/>
      <c r="AL157" s="95"/>
    </row>
    <row r="158" spans="1:38" x14ac:dyDescent="0.25">
      <c r="A158" s="16" t="s">
        <v>1933</v>
      </c>
      <c r="F158" s="97"/>
      <c r="Y158" s="94"/>
      <c r="AL158" s="95"/>
    </row>
    <row r="159" spans="1:38" x14ac:dyDescent="0.25">
      <c r="A159" s="94">
        <v>510</v>
      </c>
      <c r="B159" s="94" t="s">
        <v>726</v>
      </c>
      <c r="C159" s="94" t="s">
        <v>1934</v>
      </c>
      <c r="D159" s="94" t="s">
        <v>1296</v>
      </c>
      <c r="F159" s="97">
        <f>'Jurisdictional Study'!F946</f>
        <v>6590707.5324850595</v>
      </c>
      <c r="H159" s="98">
        <f>IF(VLOOKUP($D159,$C$5:$AJ$646,6,)=0,0,((VLOOKUP($D159,$C$5:$AJ$646,6,)/VLOOKUP($D159,$C$5:$AJ$646,4,))*$F159))</f>
        <v>204099.60747924051</v>
      </c>
      <c r="I159" s="98">
        <f>IF(VLOOKUP($D159,$C$5:$AJ$646,7,)=0,0,((VLOOKUP($D159,$C$5:$AJ$646,7,)/VLOOKUP($D159,$C$5:$AJ$646,4,))*$F159))</f>
        <v>192400.15847738623</v>
      </c>
      <c r="J159" s="98">
        <f>IF(VLOOKUP($D159,$C$5:$AJ$646,8,)=0,0,((VLOOKUP($D159,$C$5:$AJ$646,8,)/VLOOKUP($D159,$C$5:$AJ$646,4,))*$F159))</f>
        <v>197596.29097131334</v>
      </c>
      <c r="K159" s="98">
        <f>IF(VLOOKUP($D159,$C$5:$AJ$646,9,)=0,0,((VLOOKUP($D159,$C$5:$AJ$646,9,)/VLOOKUP($D159,$C$5:$AJ$646,4,))*$F159))</f>
        <v>5996611.4755571196</v>
      </c>
      <c r="L159" s="98">
        <f>IF(VLOOKUP($D159,$C$5:$AJ$646,10,)=0,0,((VLOOKUP($D159,$C$5:$AJ$646,10,)/VLOOKUP($D159,$C$5:$AJ$646,4,))*$F159))</f>
        <v>0</v>
      </c>
      <c r="M159" s="98">
        <f>IF(VLOOKUP($D159,$C$5:$AJ$646,11,)=0,0,((VLOOKUP($D159,$C$5:$AJ$646,11,)/VLOOKUP($D159,$C$5:$AJ$646,4,))*$F159))</f>
        <v>0</v>
      </c>
      <c r="N159" s="98"/>
      <c r="O159" s="98">
        <f>IF(VLOOKUP($D159,$C$5:$AJ$646,13,)=0,0,((VLOOKUP($D159,$C$5:$AJ$646,13,)/VLOOKUP($D159,$C$5:$AJ$646,4,))*$F159))</f>
        <v>0</v>
      </c>
      <c r="P159" s="98">
        <f>IF(VLOOKUP($D159,$C$5:$AJ$646,14,)=0,0,((VLOOKUP($D159,$C$5:$AJ$646,14,)/VLOOKUP($D159,$C$5:$AJ$646,4,))*$F159))</f>
        <v>0</v>
      </c>
      <c r="Q159" s="98">
        <f>IF(VLOOKUP($D159,$C$5:$AJ$646,15,)=0,0,((VLOOKUP($D159,$C$5:$AJ$646,15,)/VLOOKUP($D159,$C$5:$AJ$646,4,))*$F159))</f>
        <v>0</v>
      </c>
      <c r="R159" s="98"/>
      <c r="S159" s="98">
        <f>IF(VLOOKUP($D159,$C$5:$AJ$646,17,)=0,0,((VLOOKUP($D159,$C$5:$AJ$646,17,)/VLOOKUP($D159,$C$5:$AJ$646,4,))*$F159))</f>
        <v>0</v>
      </c>
      <c r="T159" s="98">
        <f>IF(VLOOKUP($D159,$C$5:$AJ$646,18,)=0,0,((VLOOKUP($D159,$C$5:$AJ$646,18,)/VLOOKUP($D159,$C$5:$AJ$646,4,))*$F159))</f>
        <v>0</v>
      </c>
      <c r="U159" s="98">
        <f>IF(VLOOKUP($D159,$C$5:$AJ$646,19,)=0,0,((VLOOKUP($D159,$C$5:$AJ$646,19,)/VLOOKUP($D159,$C$5:$AJ$646,4,))*$F159))</f>
        <v>0</v>
      </c>
      <c r="V159" s="98">
        <f>IF(VLOOKUP($D159,$C$5:$AJ$646,20,)=0,0,((VLOOKUP($D159,$C$5:$AJ$646,20,)/VLOOKUP($D159,$C$5:$AJ$646,4,))*$F159))</f>
        <v>0</v>
      </c>
      <c r="W159" s="98">
        <f>IF(VLOOKUP($D159,$C$5:$AJ$646,21,)=0,0,((VLOOKUP($D159,$C$5:$AJ$646,21,)/VLOOKUP($D159,$C$5:$AJ$646,4,))*$F159))</f>
        <v>0</v>
      </c>
      <c r="X159" s="98">
        <f>IF(VLOOKUP($D159,$C$5:$AJ$646,22,)=0,0,((VLOOKUP($D159,$C$5:$AJ$646,22,)/VLOOKUP($D159,$C$5:$AJ$646,4,))*$F159))</f>
        <v>0</v>
      </c>
      <c r="Y159" s="98">
        <f>IF(VLOOKUP($D159,$C$5:$AJ$646,23,)=0,0,((VLOOKUP($D159,$C$5:$AJ$646,23,)/VLOOKUP($D159,$C$5:$AJ$646,4,))*$F159))</f>
        <v>0</v>
      </c>
      <c r="Z159" s="98">
        <f>IF(VLOOKUP($D159,$C$5:$AJ$646,24,)=0,0,((VLOOKUP($D159,$C$5:$AJ$646,24,)/VLOOKUP($D159,$C$5:$AJ$646,4,))*$F159))</f>
        <v>0</v>
      </c>
      <c r="AA159" s="98">
        <f>IF(VLOOKUP($D159,$C$5:$AJ$646,25,)=0,0,((VLOOKUP($D159,$C$5:$AJ$646,25,)/VLOOKUP($D159,$C$5:$AJ$646,4,))*$F159))</f>
        <v>0</v>
      </c>
      <c r="AB159" s="98">
        <f>IF(VLOOKUP($D159,$C$5:$AJ$646,26,)=0,0,((VLOOKUP($D159,$C$5:$AJ$646,26,)/VLOOKUP($D159,$C$5:$AJ$646,4,))*$F159))</f>
        <v>0</v>
      </c>
      <c r="AC159" s="98">
        <f>IF(VLOOKUP($D159,$C$5:$AJ$646,27,)=0,0,((VLOOKUP($D159,$C$5:$AJ$646,27,)/VLOOKUP($D159,$C$5:$AJ$646,4,))*$F159))</f>
        <v>0</v>
      </c>
      <c r="AD159" s="98">
        <f>IF(VLOOKUP($D159,$C$5:$AJ$646,28,)=0,0,((VLOOKUP($D159,$C$5:$AJ$646,28,)/VLOOKUP($D159,$C$5:$AJ$646,4,))*$F159))</f>
        <v>0</v>
      </c>
      <c r="AE159" s="98"/>
      <c r="AF159" s="98">
        <f>IF(VLOOKUP($D159,$C$5:$AJ$646,30,)=0,0,((VLOOKUP($D159,$C$5:$AJ$646,30,)/VLOOKUP($D159,$C$5:$AJ$646,4,))*$F159))</f>
        <v>0</v>
      </c>
      <c r="AG159" s="98"/>
      <c r="AH159" s="98">
        <f>IF(VLOOKUP($D159,$C$5:$AJ$646,32,)=0,0,((VLOOKUP($D159,$C$5:$AJ$646,32,)/VLOOKUP($D159,$C$5:$AJ$646,4,))*$F159))</f>
        <v>0</v>
      </c>
      <c r="AI159" s="98"/>
      <c r="AJ159" s="98">
        <f>IF(VLOOKUP($D159,$C$5:$AJ$646,34,)=0,0,((VLOOKUP($D159,$C$5:$AJ$646,34,)/VLOOKUP($D159,$C$5:$AJ$646,4,))*$F159))</f>
        <v>0</v>
      </c>
      <c r="AK159" s="98">
        <f>SUM(H159:AJ159)</f>
        <v>6590707.5324850595</v>
      </c>
      <c r="AL159" s="95" t="str">
        <f>IF(ABS(AK159-F159)&lt;1,"ok","err")</f>
        <v>ok</v>
      </c>
    </row>
    <row r="160" spans="1:38" x14ac:dyDescent="0.25">
      <c r="A160" s="94">
        <v>511</v>
      </c>
      <c r="B160" s="94" t="s">
        <v>725</v>
      </c>
      <c r="C160" s="94" t="s">
        <v>1935</v>
      </c>
      <c r="D160" s="94" t="s">
        <v>885</v>
      </c>
      <c r="F160" s="98">
        <f>'Jurisdictional Study'!F947</f>
        <v>5063204.9561473373</v>
      </c>
      <c r="H160" s="98">
        <f>IF(VLOOKUP($D160,$C$5:$AJ$646,6,)=0,0,((VLOOKUP($D160,$C$5:$AJ$646,6,)/VLOOKUP($D160,$C$5:$AJ$646,4,))*$F160))</f>
        <v>1739446.2260535776</v>
      </c>
      <c r="I160" s="98">
        <f>IF(VLOOKUP($D160,$C$5:$AJ$646,7,)=0,0,((VLOOKUP($D160,$C$5:$AJ$646,7,)/VLOOKUP($D160,$C$5:$AJ$646,4,))*$F160))</f>
        <v>1639737.2522612019</v>
      </c>
      <c r="J160" s="98">
        <f>IF(VLOOKUP($D160,$C$5:$AJ$646,8,)=0,0,((VLOOKUP($D160,$C$5:$AJ$646,8,)/VLOOKUP($D160,$C$5:$AJ$646,4,))*$F160))</f>
        <v>1684021.4778325579</v>
      </c>
      <c r="K160" s="98">
        <f>IF(VLOOKUP($D160,$C$5:$AJ$646,9,)=0,0,((VLOOKUP($D160,$C$5:$AJ$646,9,)/VLOOKUP($D160,$C$5:$AJ$646,4,))*$F160))</f>
        <v>0</v>
      </c>
      <c r="L160" s="98">
        <f>IF(VLOOKUP($D160,$C$5:$AJ$646,10,)=0,0,((VLOOKUP($D160,$C$5:$AJ$646,10,)/VLOOKUP($D160,$C$5:$AJ$646,4,))*$F160))</f>
        <v>0</v>
      </c>
      <c r="M160" s="98">
        <f>IF(VLOOKUP($D160,$C$5:$AJ$646,11,)=0,0,((VLOOKUP($D160,$C$5:$AJ$646,11,)/VLOOKUP($D160,$C$5:$AJ$646,4,))*$F160))</f>
        <v>0</v>
      </c>
      <c r="N160" s="98"/>
      <c r="O160" s="98">
        <f>IF(VLOOKUP($D160,$C$5:$AJ$646,13,)=0,0,((VLOOKUP($D160,$C$5:$AJ$646,13,)/VLOOKUP($D160,$C$5:$AJ$646,4,))*$F160))</f>
        <v>0</v>
      </c>
      <c r="P160" s="98">
        <f>IF(VLOOKUP($D160,$C$5:$AJ$646,14,)=0,0,((VLOOKUP($D160,$C$5:$AJ$646,14,)/VLOOKUP($D160,$C$5:$AJ$646,4,))*$F160))</f>
        <v>0</v>
      </c>
      <c r="Q160" s="98">
        <f>IF(VLOOKUP($D160,$C$5:$AJ$646,15,)=0,0,((VLOOKUP($D160,$C$5:$AJ$646,15,)/VLOOKUP($D160,$C$5:$AJ$646,4,))*$F160))</f>
        <v>0</v>
      </c>
      <c r="R160" s="98"/>
      <c r="S160" s="98">
        <f>IF(VLOOKUP($D160,$C$5:$AJ$646,17,)=0,0,((VLOOKUP($D160,$C$5:$AJ$646,17,)/VLOOKUP($D160,$C$5:$AJ$646,4,))*$F160))</f>
        <v>0</v>
      </c>
      <c r="T160" s="98">
        <f>IF(VLOOKUP($D160,$C$5:$AJ$646,18,)=0,0,((VLOOKUP($D160,$C$5:$AJ$646,18,)/VLOOKUP($D160,$C$5:$AJ$646,4,))*$F160))</f>
        <v>0</v>
      </c>
      <c r="U160" s="98">
        <f>IF(VLOOKUP($D160,$C$5:$AJ$646,19,)=0,0,((VLOOKUP($D160,$C$5:$AJ$646,19,)/VLOOKUP($D160,$C$5:$AJ$646,4,))*$F160))</f>
        <v>0</v>
      </c>
      <c r="V160" s="98">
        <f>IF(VLOOKUP($D160,$C$5:$AJ$646,20,)=0,0,((VLOOKUP($D160,$C$5:$AJ$646,20,)/VLOOKUP($D160,$C$5:$AJ$646,4,))*$F160))</f>
        <v>0</v>
      </c>
      <c r="W160" s="98">
        <f>IF(VLOOKUP($D160,$C$5:$AJ$646,21,)=0,0,((VLOOKUP($D160,$C$5:$AJ$646,21,)/VLOOKUP($D160,$C$5:$AJ$646,4,))*$F160))</f>
        <v>0</v>
      </c>
      <c r="X160" s="98">
        <f>IF(VLOOKUP($D160,$C$5:$AJ$646,22,)=0,0,((VLOOKUP($D160,$C$5:$AJ$646,22,)/VLOOKUP($D160,$C$5:$AJ$646,4,))*$F160))</f>
        <v>0</v>
      </c>
      <c r="Y160" s="98">
        <f>IF(VLOOKUP($D160,$C$5:$AJ$646,23,)=0,0,((VLOOKUP($D160,$C$5:$AJ$646,23,)/VLOOKUP($D160,$C$5:$AJ$646,4,))*$F160))</f>
        <v>0</v>
      </c>
      <c r="Z160" s="98">
        <f>IF(VLOOKUP($D160,$C$5:$AJ$646,24,)=0,0,((VLOOKUP($D160,$C$5:$AJ$646,24,)/VLOOKUP($D160,$C$5:$AJ$646,4,))*$F160))</f>
        <v>0</v>
      </c>
      <c r="AA160" s="98">
        <f>IF(VLOOKUP($D160,$C$5:$AJ$646,25,)=0,0,((VLOOKUP($D160,$C$5:$AJ$646,25,)/VLOOKUP($D160,$C$5:$AJ$646,4,))*$F160))</f>
        <v>0</v>
      </c>
      <c r="AB160" s="98">
        <f>IF(VLOOKUP($D160,$C$5:$AJ$646,26,)=0,0,((VLOOKUP($D160,$C$5:$AJ$646,26,)/VLOOKUP($D160,$C$5:$AJ$646,4,))*$F160))</f>
        <v>0</v>
      </c>
      <c r="AC160" s="98">
        <f>IF(VLOOKUP($D160,$C$5:$AJ$646,27,)=0,0,((VLOOKUP($D160,$C$5:$AJ$646,27,)/VLOOKUP($D160,$C$5:$AJ$646,4,))*$F160))</f>
        <v>0</v>
      </c>
      <c r="AD160" s="98">
        <f>IF(VLOOKUP($D160,$C$5:$AJ$646,28,)=0,0,((VLOOKUP($D160,$C$5:$AJ$646,28,)/VLOOKUP($D160,$C$5:$AJ$646,4,))*$F160))</f>
        <v>0</v>
      </c>
      <c r="AE160" s="98"/>
      <c r="AF160" s="98">
        <f>IF(VLOOKUP($D160,$C$5:$AJ$646,30,)=0,0,((VLOOKUP($D160,$C$5:$AJ$646,30,)/VLOOKUP($D160,$C$5:$AJ$646,4,))*$F160))</f>
        <v>0</v>
      </c>
      <c r="AG160" s="98"/>
      <c r="AH160" s="98">
        <f>IF(VLOOKUP($D160,$C$5:$AJ$646,32,)=0,0,((VLOOKUP($D160,$C$5:$AJ$646,32,)/VLOOKUP($D160,$C$5:$AJ$646,4,))*$F160))</f>
        <v>0</v>
      </c>
      <c r="AI160" s="98"/>
      <c r="AJ160" s="98">
        <f>IF(VLOOKUP($D160,$C$5:$AJ$646,34,)=0,0,((VLOOKUP($D160,$C$5:$AJ$646,34,)/VLOOKUP($D160,$C$5:$AJ$646,4,))*$F160))</f>
        <v>0</v>
      </c>
      <c r="AK160" s="98">
        <f>SUM(H160:AJ160)</f>
        <v>5063204.9561473373</v>
      </c>
      <c r="AL160" s="95" t="str">
        <f>IF(ABS(AK160-F160)&lt;1,"ok","err")</f>
        <v>ok</v>
      </c>
    </row>
    <row r="161" spans="1:38" x14ac:dyDescent="0.25">
      <c r="A161" s="94">
        <v>512</v>
      </c>
      <c r="B161" s="94" t="s">
        <v>1936</v>
      </c>
      <c r="C161" s="94" t="s">
        <v>1938</v>
      </c>
      <c r="D161" s="94" t="s">
        <v>124</v>
      </c>
      <c r="F161" s="98">
        <f>'Jurisdictional Study'!F948</f>
        <v>34867058.443101168</v>
      </c>
      <c r="H161" s="98">
        <f>IF(VLOOKUP($D161,$C$5:$AJ$646,6,)=0,0,((VLOOKUP($D161,$C$5:$AJ$646,6,)/VLOOKUP($D161,$C$5:$AJ$646,4,))*$F161))</f>
        <v>0</v>
      </c>
      <c r="I161" s="98">
        <f>IF(VLOOKUP($D161,$C$5:$AJ$646,7,)=0,0,((VLOOKUP($D161,$C$5:$AJ$646,7,)/VLOOKUP($D161,$C$5:$AJ$646,4,))*$F161))</f>
        <v>0</v>
      </c>
      <c r="J161" s="98">
        <f>IF(VLOOKUP($D161,$C$5:$AJ$646,8,)=0,0,((VLOOKUP($D161,$C$5:$AJ$646,8,)/VLOOKUP($D161,$C$5:$AJ$646,4,))*$F161))</f>
        <v>0</v>
      </c>
      <c r="K161" s="98">
        <f>IF(VLOOKUP($D161,$C$5:$AJ$646,9,)=0,0,((VLOOKUP($D161,$C$5:$AJ$646,9,)/VLOOKUP($D161,$C$5:$AJ$646,4,))*$F161))</f>
        <v>34867058.443101168</v>
      </c>
      <c r="L161" s="98">
        <f>IF(VLOOKUP($D161,$C$5:$AJ$646,10,)=0,0,((VLOOKUP($D161,$C$5:$AJ$646,10,)/VLOOKUP($D161,$C$5:$AJ$646,4,))*$F161))</f>
        <v>0</v>
      </c>
      <c r="M161" s="98">
        <f>IF(VLOOKUP($D161,$C$5:$AJ$646,11,)=0,0,((VLOOKUP($D161,$C$5:$AJ$646,11,)/VLOOKUP($D161,$C$5:$AJ$646,4,))*$F161))</f>
        <v>0</v>
      </c>
      <c r="N161" s="98"/>
      <c r="O161" s="98">
        <f>IF(VLOOKUP($D161,$C$5:$AJ$646,13,)=0,0,((VLOOKUP($D161,$C$5:$AJ$646,13,)/VLOOKUP($D161,$C$5:$AJ$646,4,))*$F161))</f>
        <v>0</v>
      </c>
      <c r="P161" s="98">
        <f>IF(VLOOKUP($D161,$C$5:$AJ$646,14,)=0,0,((VLOOKUP($D161,$C$5:$AJ$646,14,)/VLOOKUP($D161,$C$5:$AJ$646,4,))*$F161))</f>
        <v>0</v>
      </c>
      <c r="Q161" s="98">
        <f>IF(VLOOKUP($D161,$C$5:$AJ$646,15,)=0,0,((VLOOKUP($D161,$C$5:$AJ$646,15,)/VLOOKUP($D161,$C$5:$AJ$646,4,))*$F161))</f>
        <v>0</v>
      </c>
      <c r="R161" s="98"/>
      <c r="S161" s="98">
        <f>IF(VLOOKUP($D161,$C$5:$AJ$646,17,)=0,0,((VLOOKUP($D161,$C$5:$AJ$646,17,)/VLOOKUP($D161,$C$5:$AJ$646,4,))*$F161))</f>
        <v>0</v>
      </c>
      <c r="T161" s="98">
        <f>IF(VLOOKUP($D161,$C$5:$AJ$646,18,)=0,0,((VLOOKUP($D161,$C$5:$AJ$646,18,)/VLOOKUP($D161,$C$5:$AJ$646,4,))*$F161))</f>
        <v>0</v>
      </c>
      <c r="U161" s="98">
        <f>IF(VLOOKUP($D161,$C$5:$AJ$646,19,)=0,0,((VLOOKUP($D161,$C$5:$AJ$646,19,)/VLOOKUP($D161,$C$5:$AJ$646,4,))*$F161))</f>
        <v>0</v>
      </c>
      <c r="V161" s="98">
        <f>IF(VLOOKUP($D161,$C$5:$AJ$646,20,)=0,0,((VLOOKUP($D161,$C$5:$AJ$646,20,)/VLOOKUP($D161,$C$5:$AJ$646,4,))*$F161))</f>
        <v>0</v>
      </c>
      <c r="W161" s="98">
        <f>IF(VLOOKUP($D161,$C$5:$AJ$646,21,)=0,0,((VLOOKUP($D161,$C$5:$AJ$646,21,)/VLOOKUP($D161,$C$5:$AJ$646,4,))*$F161))</f>
        <v>0</v>
      </c>
      <c r="X161" s="98">
        <f>IF(VLOOKUP($D161,$C$5:$AJ$646,22,)=0,0,((VLOOKUP($D161,$C$5:$AJ$646,22,)/VLOOKUP($D161,$C$5:$AJ$646,4,))*$F161))</f>
        <v>0</v>
      </c>
      <c r="Y161" s="98">
        <f>IF(VLOOKUP($D161,$C$5:$AJ$646,23,)=0,0,((VLOOKUP($D161,$C$5:$AJ$646,23,)/VLOOKUP($D161,$C$5:$AJ$646,4,))*$F161))</f>
        <v>0</v>
      </c>
      <c r="Z161" s="98">
        <f>IF(VLOOKUP($D161,$C$5:$AJ$646,24,)=0,0,((VLOOKUP($D161,$C$5:$AJ$646,24,)/VLOOKUP($D161,$C$5:$AJ$646,4,))*$F161))</f>
        <v>0</v>
      </c>
      <c r="AA161" s="98">
        <f>IF(VLOOKUP($D161,$C$5:$AJ$646,25,)=0,0,((VLOOKUP($D161,$C$5:$AJ$646,25,)/VLOOKUP($D161,$C$5:$AJ$646,4,))*$F161))</f>
        <v>0</v>
      </c>
      <c r="AB161" s="98">
        <f>IF(VLOOKUP($D161,$C$5:$AJ$646,26,)=0,0,((VLOOKUP($D161,$C$5:$AJ$646,26,)/VLOOKUP($D161,$C$5:$AJ$646,4,))*$F161))</f>
        <v>0</v>
      </c>
      <c r="AC161" s="98">
        <f>IF(VLOOKUP($D161,$C$5:$AJ$646,27,)=0,0,((VLOOKUP($D161,$C$5:$AJ$646,27,)/VLOOKUP($D161,$C$5:$AJ$646,4,))*$F161))</f>
        <v>0</v>
      </c>
      <c r="AD161" s="98">
        <f>IF(VLOOKUP($D161,$C$5:$AJ$646,28,)=0,0,((VLOOKUP($D161,$C$5:$AJ$646,28,)/VLOOKUP($D161,$C$5:$AJ$646,4,))*$F161))</f>
        <v>0</v>
      </c>
      <c r="AE161" s="98"/>
      <c r="AF161" s="98">
        <f>IF(VLOOKUP($D161,$C$5:$AJ$646,30,)=0,0,((VLOOKUP($D161,$C$5:$AJ$646,30,)/VLOOKUP($D161,$C$5:$AJ$646,4,))*$F161))</f>
        <v>0</v>
      </c>
      <c r="AG161" s="98"/>
      <c r="AH161" s="98">
        <f>IF(VLOOKUP($D161,$C$5:$AJ$646,32,)=0,0,((VLOOKUP($D161,$C$5:$AJ$646,32,)/VLOOKUP($D161,$C$5:$AJ$646,4,))*$F161))</f>
        <v>0</v>
      </c>
      <c r="AI161" s="98"/>
      <c r="AJ161" s="98">
        <f>IF(VLOOKUP($D161,$C$5:$AJ$646,34,)=0,0,((VLOOKUP($D161,$C$5:$AJ$646,34,)/VLOOKUP($D161,$C$5:$AJ$646,4,))*$F161))</f>
        <v>0</v>
      </c>
      <c r="AK161" s="98">
        <f>SUM(H161:AJ161)</f>
        <v>34867058.443101168</v>
      </c>
      <c r="AL161" s="95" t="str">
        <f>IF(ABS(AK161-F161)&lt;1,"ok","err")</f>
        <v>ok</v>
      </c>
    </row>
    <row r="162" spans="1:38" x14ac:dyDescent="0.25">
      <c r="A162" s="94">
        <v>513</v>
      </c>
      <c r="B162" s="94" t="s">
        <v>1937</v>
      </c>
      <c r="C162" s="94" t="s">
        <v>1939</v>
      </c>
      <c r="D162" s="94" t="s">
        <v>124</v>
      </c>
      <c r="F162" s="98">
        <f>'Jurisdictional Study'!F949</f>
        <v>11091400.681673247</v>
      </c>
      <c r="H162" s="98">
        <f>IF(VLOOKUP($D162,$C$5:$AJ$646,6,)=0,0,((VLOOKUP($D162,$C$5:$AJ$646,6,)/VLOOKUP($D162,$C$5:$AJ$646,4,))*$F162))</f>
        <v>0</v>
      </c>
      <c r="I162" s="98">
        <f>IF(VLOOKUP($D162,$C$5:$AJ$646,7,)=0,0,((VLOOKUP($D162,$C$5:$AJ$646,7,)/VLOOKUP($D162,$C$5:$AJ$646,4,))*$F162))</f>
        <v>0</v>
      </c>
      <c r="J162" s="98">
        <f>IF(VLOOKUP($D162,$C$5:$AJ$646,8,)=0,0,((VLOOKUP($D162,$C$5:$AJ$646,8,)/VLOOKUP($D162,$C$5:$AJ$646,4,))*$F162))</f>
        <v>0</v>
      </c>
      <c r="K162" s="98">
        <f>IF(VLOOKUP($D162,$C$5:$AJ$646,9,)=0,0,((VLOOKUP($D162,$C$5:$AJ$646,9,)/VLOOKUP($D162,$C$5:$AJ$646,4,))*$F162))</f>
        <v>11091400.681673247</v>
      </c>
      <c r="L162" s="98">
        <f>IF(VLOOKUP($D162,$C$5:$AJ$646,10,)=0,0,((VLOOKUP($D162,$C$5:$AJ$646,10,)/VLOOKUP($D162,$C$5:$AJ$646,4,))*$F162))</f>
        <v>0</v>
      </c>
      <c r="M162" s="98">
        <f>IF(VLOOKUP($D162,$C$5:$AJ$646,11,)=0,0,((VLOOKUP($D162,$C$5:$AJ$646,11,)/VLOOKUP($D162,$C$5:$AJ$646,4,))*$F162))</f>
        <v>0</v>
      </c>
      <c r="N162" s="98"/>
      <c r="O162" s="98">
        <f>IF(VLOOKUP($D162,$C$5:$AJ$646,13,)=0,0,((VLOOKUP($D162,$C$5:$AJ$646,13,)/VLOOKUP($D162,$C$5:$AJ$646,4,))*$F162))</f>
        <v>0</v>
      </c>
      <c r="P162" s="98">
        <f>IF(VLOOKUP($D162,$C$5:$AJ$646,14,)=0,0,((VLOOKUP($D162,$C$5:$AJ$646,14,)/VLOOKUP($D162,$C$5:$AJ$646,4,))*$F162))</f>
        <v>0</v>
      </c>
      <c r="Q162" s="98">
        <f>IF(VLOOKUP($D162,$C$5:$AJ$646,15,)=0,0,((VLOOKUP($D162,$C$5:$AJ$646,15,)/VLOOKUP($D162,$C$5:$AJ$646,4,))*$F162))</f>
        <v>0</v>
      </c>
      <c r="R162" s="98"/>
      <c r="S162" s="98">
        <f>IF(VLOOKUP($D162,$C$5:$AJ$646,17,)=0,0,((VLOOKUP($D162,$C$5:$AJ$646,17,)/VLOOKUP($D162,$C$5:$AJ$646,4,))*$F162))</f>
        <v>0</v>
      </c>
      <c r="T162" s="98">
        <f>IF(VLOOKUP($D162,$C$5:$AJ$646,18,)=0,0,((VLOOKUP($D162,$C$5:$AJ$646,18,)/VLOOKUP($D162,$C$5:$AJ$646,4,))*$F162))</f>
        <v>0</v>
      </c>
      <c r="U162" s="98">
        <f>IF(VLOOKUP($D162,$C$5:$AJ$646,19,)=0,0,((VLOOKUP($D162,$C$5:$AJ$646,19,)/VLOOKUP($D162,$C$5:$AJ$646,4,))*$F162))</f>
        <v>0</v>
      </c>
      <c r="V162" s="98">
        <f>IF(VLOOKUP($D162,$C$5:$AJ$646,20,)=0,0,((VLOOKUP($D162,$C$5:$AJ$646,20,)/VLOOKUP($D162,$C$5:$AJ$646,4,))*$F162))</f>
        <v>0</v>
      </c>
      <c r="W162" s="98">
        <f>IF(VLOOKUP($D162,$C$5:$AJ$646,21,)=0,0,((VLOOKUP($D162,$C$5:$AJ$646,21,)/VLOOKUP($D162,$C$5:$AJ$646,4,))*$F162))</f>
        <v>0</v>
      </c>
      <c r="X162" s="98">
        <f>IF(VLOOKUP($D162,$C$5:$AJ$646,22,)=0,0,((VLOOKUP($D162,$C$5:$AJ$646,22,)/VLOOKUP($D162,$C$5:$AJ$646,4,))*$F162))</f>
        <v>0</v>
      </c>
      <c r="Y162" s="98">
        <f>IF(VLOOKUP($D162,$C$5:$AJ$646,23,)=0,0,((VLOOKUP($D162,$C$5:$AJ$646,23,)/VLOOKUP($D162,$C$5:$AJ$646,4,))*$F162))</f>
        <v>0</v>
      </c>
      <c r="Z162" s="98">
        <f>IF(VLOOKUP($D162,$C$5:$AJ$646,24,)=0,0,((VLOOKUP($D162,$C$5:$AJ$646,24,)/VLOOKUP($D162,$C$5:$AJ$646,4,))*$F162))</f>
        <v>0</v>
      </c>
      <c r="AA162" s="98">
        <f>IF(VLOOKUP($D162,$C$5:$AJ$646,25,)=0,0,((VLOOKUP($D162,$C$5:$AJ$646,25,)/VLOOKUP($D162,$C$5:$AJ$646,4,))*$F162))</f>
        <v>0</v>
      </c>
      <c r="AB162" s="98">
        <f>IF(VLOOKUP($D162,$C$5:$AJ$646,26,)=0,0,((VLOOKUP($D162,$C$5:$AJ$646,26,)/VLOOKUP($D162,$C$5:$AJ$646,4,))*$F162))</f>
        <v>0</v>
      </c>
      <c r="AC162" s="98">
        <f>IF(VLOOKUP($D162,$C$5:$AJ$646,27,)=0,0,((VLOOKUP($D162,$C$5:$AJ$646,27,)/VLOOKUP($D162,$C$5:$AJ$646,4,))*$F162))</f>
        <v>0</v>
      </c>
      <c r="AD162" s="98">
        <f>IF(VLOOKUP($D162,$C$5:$AJ$646,28,)=0,0,((VLOOKUP($D162,$C$5:$AJ$646,28,)/VLOOKUP($D162,$C$5:$AJ$646,4,))*$F162))</f>
        <v>0</v>
      </c>
      <c r="AE162" s="98"/>
      <c r="AF162" s="98">
        <f>IF(VLOOKUP($D162,$C$5:$AJ$646,30,)=0,0,((VLOOKUP($D162,$C$5:$AJ$646,30,)/VLOOKUP($D162,$C$5:$AJ$646,4,))*$F162))</f>
        <v>0</v>
      </c>
      <c r="AG162" s="98"/>
      <c r="AH162" s="98">
        <f>IF(VLOOKUP($D162,$C$5:$AJ$646,32,)=0,0,((VLOOKUP($D162,$C$5:$AJ$646,32,)/VLOOKUP($D162,$C$5:$AJ$646,4,))*$F162))</f>
        <v>0</v>
      </c>
      <c r="AI162" s="98"/>
      <c r="AJ162" s="98">
        <f>IF(VLOOKUP($D162,$C$5:$AJ$646,34,)=0,0,((VLOOKUP($D162,$C$5:$AJ$646,34,)/VLOOKUP($D162,$C$5:$AJ$646,4,))*$F162))</f>
        <v>0</v>
      </c>
      <c r="AK162" s="98">
        <f>SUM(H162:AJ162)</f>
        <v>11091400.681673247</v>
      </c>
      <c r="AL162" s="95" t="str">
        <f>IF(ABS(AK162-F162)&lt;1,"ok","err")</f>
        <v>ok</v>
      </c>
    </row>
    <row r="163" spans="1:38" x14ac:dyDescent="0.25">
      <c r="A163" s="94">
        <v>514</v>
      </c>
      <c r="B163" s="94" t="s">
        <v>1940</v>
      </c>
      <c r="C163" s="94" t="s">
        <v>1941</v>
      </c>
      <c r="D163" s="94" t="s">
        <v>124</v>
      </c>
      <c r="F163" s="98">
        <f>'Jurisdictional Study'!F950</f>
        <v>1928065.1053386126</v>
      </c>
      <c r="H163" s="98">
        <f>IF(VLOOKUP($D163,$C$5:$AJ$646,6,)=0,0,((VLOOKUP($D163,$C$5:$AJ$646,6,)/VLOOKUP($D163,$C$5:$AJ$646,4,))*$F163))</f>
        <v>0</v>
      </c>
      <c r="I163" s="98">
        <f>IF(VLOOKUP($D163,$C$5:$AJ$646,7,)=0,0,((VLOOKUP($D163,$C$5:$AJ$646,7,)/VLOOKUP($D163,$C$5:$AJ$646,4,))*$F163))</f>
        <v>0</v>
      </c>
      <c r="J163" s="98">
        <f>IF(VLOOKUP($D163,$C$5:$AJ$646,8,)=0,0,((VLOOKUP($D163,$C$5:$AJ$646,8,)/VLOOKUP($D163,$C$5:$AJ$646,4,))*$F163))</f>
        <v>0</v>
      </c>
      <c r="K163" s="98">
        <f>IF(VLOOKUP($D163,$C$5:$AJ$646,9,)=0,0,((VLOOKUP($D163,$C$5:$AJ$646,9,)/VLOOKUP($D163,$C$5:$AJ$646,4,))*$F163))</f>
        <v>1928065.1053386126</v>
      </c>
      <c r="L163" s="98">
        <f>IF(VLOOKUP($D163,$C$5:$AJ$646,10,)=0,0,((VLOOKUP($D163,$C$5:$AJ$646,10,)/VLOOKUP($D163,$C$5:$AJ$646,4,))*$F163))</f>
        <v>0</v>
      </c>
      <c r="M163" s="98">
        <f>IF(VLOOKUP($D163,$C$5:$AJ$646,11,)=0,0,((VLOOKUP($D163,$C$5:$AJ$646,11,)/VLOOKUP($D163,$C$5:$AJ$646,4,))*$F163))</f>
        <v>0</v>
      </c>
      <c r="N163" s="98"/>
      <c r="O163" s="98">
        <f>IF(VLOOKUP($D163,$C$5:$AJ$646,13,)=0,0,((VLOOKUP($D163,$C$5:$AJ$646,13,)/VLOOKUP($D163,$C$5:$AJ$646,4,))*$F163))</f>
        <v>0</v>
      </c>
      <c r="P163" s="98">
        <f>IF(VLOOKUP($D163,$C$5:$AJ$646,14,)=0,0,((VLOOKUP($D163,$C$5:$AJ$646,14,)/VLOOKUP($D163,$C$5:$AJ$646,4,))*$F163))</f>
        <v>0</v>
      </c>
      <c r="Q163" s="98">
        <f>IF(VLOOKUP($D163,$C$5:$AJ$646,15,)=0,0,((VLOOKUP($D163,$C$5:$AJ$646,15,)/VLOOKUP($D163,$C$5:$AJ$646,4,))*$F163))</f>
        <v>0</v>
      </c>
      <c r="R163" s="98"/>
      <c r="S163" s="98">
        <f>IF(VLOOKUP($D163,$C$5:$AJ$646,17,)=0,0,((VLOOKUP($D163,$C$5:$AJ$646,17,)/VLOOKUP($D163,$C$5:$AJ$646,4,))*$F163))</f>
        <v>0</v>
      </c>
      <c r="T163" s="98">
        <f>IF(VLOOKUP($D163,$C$5:$AJ$646,18,)=0,0,((VLOOKUP($D163,$C$5:$AJ$646,18,)/VLOOKUP($D163,$C$5:$AJ$646,4,))*$F163))</f>
        <v>0</v>
      </c>
      <c r="U163" s="98">
        <f>IF(VLOOKUP($D163,$C$5:$AJ$646,19,)=0,0,((VLOOKUP($D163,$C$5:$AJ$646,19,)/VLOOKUP($D163,$C$5:$AJ$646,4,))*$F163))</f>
        <v>0</v>
      </c>
      <c r="V163" s="98">
        <f>IF(VLOOKUP($D163,$C$5:$AJ$646,20,)=0,0,((VLOOKUP($D163,$C$5:$AJ$646,20,)/VLOOKUP($D163,$C$5:$AJ$646,4,))*$F163))</f>
        <v>0</v>
      </c>
      <c r="W163" s="98">
        <f>IF(VLOOKUP($D163,$C$5:$AJ$646,21,)=0,0,((VLOOKUP($D163,$C$5:$AJ$646,21,)/VLOOKUP($D163,$C$5:$AJ$646,4,))*$F163))</f>
        <v>0</v>
      </c>
      <c r="X163" s="98">
        <f>IF(VLOOKUP($D163,$C$5:$AJ$646,22,)=0,0,((VLOOKUP($D163,$C$5:$AJ$646,22,)/VLOOKUP($D163,$C$5:$AJ$646,4,))*$F163))</f>
        <v>0</v>
      </c>
      <c r="Y163" s="98">
        <f>IF(VLOOKUP($D163,$C$5:$AJ$646,23,)=0,0,((VLOOKUP($D163,$C$5:$AJ$646,23,)/VLOOKUP($D163,$C$5:$AJ$646,4,))*$F163))</f>
        <v>0</v>
      </c>
      <c r="Z163" s="98">
        <f>IF(VLOOKUP($D163,$C$5:$AJ$646,24,)=0,0,((VLOOKUP($D163,$C$5:$AJ$646,24,)/VLOOKUP($D163,$C$5:$AJ$646,4,))*$F163))</f>
        <v>0</v>
      </c>
      <c r="AA163" s="98">
        <f>IF(VLOOKUP($D163,$C$5:$AJ$646,25,)=0,0,((VLOOKUP($D163,$C$5:$AJ$646,25,)/VLOOKUP($D163,$C$5:$AJ$646,4,))*$F163))</f>
        <v>0</v>
      </c>
      <c r="AB163" s="98">
        <f>IF(VLOOKUP($D163,$C$5:$AJ$646,26,)=0,0,((VLOOKUP($D163,$C$5:$AJ$646,26,)/VLOOKUP($D163,$C$5:$AJ$646,4,))*$F163))</f>
        <v>0</v>
      </c>
      <c r="AC163" s="98">
        <f>IF(VLOOKUP($D163,$C$5:$AJ$646,27,)=0,0,((VLOOKUP($D163,$C$5:$AJ$646,27,)/VLOOKUP($D163,$C$5:$AJ$646,4,))*$F163))</f>
        <v>0</v>
      </c>
      <c r="AD163" s="98">
        <f>IF(VLOOKUP($D163,$C$5:$AJ$646,28,)=0,0,((VLOOKUP($D163,$C$5:$AJ$646,28,)/VLOOKUP($D163,$C$5:$AJ$646,4,))*$F163))</f>
        <v>0</v>
      </c>
      <c r="AE163" s="98"/>
      <c r="AF163" s="98">
        <f>IF(VLOOKUP($D163,$C$5:$AJ$646,30,)=0,0,((VLOOKUP($D163,$C$5:$AJ$646,30,)/VLOOKUP($D163,$C$5:$AJ$646,4,))*$F163))</f>
        <v>0</v>
      </c>
      <c r="AG163" s="98"/>
      <c r="AH163" s="98">
        <f>IF(VLOOKUP($D163,$C$5:$AJ$646,32,)=0,0,((VLOOKUP($D163,$C$5:$AJ$646,32,)/VLOOKUP($D163,$C$5:$AJ$646,4,))*$F163))</f>
        <v>0</v>
      </c>
      <c r="AI163" s="98"/>
      <c r="AJ163" s="98">
        <f>IF(VLOOKUP($D163,$C$5:$AJ$646,34,)=0,0,((VLOOKUP($D163,$C$5:$AJ$646,34,)/VLOOKUP($D163,$C$5:$AJ$646,4,))*$F163))</f>
        <v>0</v>
      </c>
      <c r="AK163" s="98">
        <f>SUM(H163:AJ163)</f>
        <v>1928065.1053386126</v>
      </c>
      <c r="AL163" s="95" t="str">
        <f>IF(ABS(AK163-F163)&lt;1,"ok","err")</f>
        <v>ok</v>
      </c>
    </row>
    <row r="164" spans="1:38" x14ac:dyDescent="0.25">
      <c r="F164" s="97"/>
      <c r="Y164" s="94"/>
      <c r="AK164" s="98"/>
      <c r="AL164" s="95"/>
    </row>
    <row r="165" spans="1:38" x14ac:dyDescent="0.25">
      <c r="B165" s="94" t="s">
        <v>1942</v>
      </c>
      <c r="F165" s="97">
        <f>SUM(F159:F164)</f>
        <v>59540436.718745418</v>
      </c>
      <c r="H165" s="97">
        <f t="shared" ref="H165:M165" si="115">SUM(H159:H164)</f>
        <v>1943545.8335328181</v>
      </c>
      <c r="I165" s="97">
        <f t="shared" si="115"/>
        <v>1832137.4107385881</v>
      </c>
      <c r="J165" s="97">
        <f t="shared" si="115"/>
        <v>1881617.7688038712</v>
      </c>
      <c r="K165" s="97">
        <f t="shared" si="115"/>
        <v>53883135.705670141</v>
      </c>
      <c r="L165" s="97">
        <f t="shared" si="115"/>
        <v>0</v>
      </c>
      <c r="M165" s="97">
        <f t="shared" si="115"/>
        <v>0</v>
      </c>
      <c r="O165" s="97">
        <f>SUM(O159:O164)</f>
        <v>0</v>
      </c>
      <c r="P165" s="97">
        <f>SUM(P159:P164)</f>
        <v>0</v>
      </c>
      <c r="Q165" s="97">
        <f>SUM(Q159:Q164)</f>
        <v>0</v>
      </c>
      <c r="S165" s="97">
        <f t="shared" ref="S165:AD165" si="116">SUM(S159:S164)</f>
        <v>0</v>
      </c>
      <c r="T165" s="97">
        <f t="shared" si="116"/>
        <v>0</v>
      </c>
      <c r="U165" s="97">
        <f t="shared" si="116"/>
        <v>0</v>
      </c>
      <c r="V165" s="97">
        <f t="shared" si="116"/>
        <v>0</v>
      </c>
      <c r="W165" s="97">
        <f t="shared" si="116"/>
        <v>0</v>
      </c>
      <c r="X165" s="97">
        <f t="shared" si="116"/>
        <v>0</v>
      </c>
      <c r="Y165" s="97">
        <f t="shared" si="116"/>
        <v>0</v>
      </c>
      <c r="Z165" s="97">
        <f t="shared" si="116"/>
        <v>0</v>
      </c>
      <c r="AA165" s="97">
        <f t="shared" si="116"/>
        <v>0</v>
      </c>
      <c r="AB165" s="97">
        <f t="shared" si="116"/>
        <v>0</v>
      </c>
      <c r="AC165" s="97">
        <f t="shared" si="116"/>
        <v>0</v>
      </c>
      <c r="AD165" s="97">
        <f t="shared" si="116"/>
        <v>0</v>
      </c>
      <c r="AF165" s="97">
        <f>SUM(AF159:AF164)</f>
        <v>0</v>
      </c>
      <c r="AH165" s="97">
        <f>SUM(AH159:AH164)</f>
        <v>0</v>
      </c>
      <c r="AJ165" s="97">
        <f>SUM(AJ159:AJ164)</f>
        <v>0</v>
      </c>
      <c r="AK165" s="98">
        <f>SUM(H165:AJ165)</f>
        <v>59540436.718745418</v>
      </c>
      <c r="AL165" s="95" t="str">
        <f>IF(ABS(AK165-F165)&lt;1,"ok","err")</f>
        <v>ok</v>
      </c>
    </row>
    <row r="166" spans="1:38" x14ac:dyDescent="0.25">
      <c r="F166" s="97"/>
      <c r="H166" s="97"/>
      <c r="I166" s="97"/>
      <c r="J166" s="97"/>
      <c r="K166" s="97"/>
      <c r="L166" s="97"/>
      <c r="M166" s="97"/>
      <c r="O166" s="97"/>
      <c r="P166" s="97"/>
      <c r="Q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F166" s="97"/>
      <c r="AH166" s="97"/>
      <c r="AJ166" s="97"/>
      <c r="AK166" s="98"/>
      <c r="AL166" s="95"/>
    </row>
    <row r="167" spans="1:38" x14ac:dyDescent="0.25">
      <c r="B167" s="94" t="s">
        <v>1943</v>
      </c>
      <c r="F167" s="97">
        <f>F156+F165</f>
        <v>527958344.33056581</v>
      </c>
      <c r="H167" s="97">
        <f t="shared" ref="H167:M167" si="117">H156+H165</f>
        <v>15267762.071561001</v>
      </c>
      <c r="I167" s="97">
        <f t="shared" si="117"/>
        <v>14392579.576431304</v>
      </c>
      <c r="J167" s="97">
        <f t="shared" si="117"/>
        <v>14781278.582712617</v>
      </c>
      <c r="K167" s="97">
        <f t="shared" si="117"/>
        <v>483516724.09986085</v>
      </c>
      <c r="L167" s="97">
        <f t="shared" si="117"/>
        <v>0</v>
      </c>
      <c r="M167" s="97">
        <f t="shared" si="117"/>
        <v>0</v>
      </c>
      <c r="O167" s="97">
        <f>O156+O165</f>
        <v>0</v>
      </c>
      <c r="P167" s="97">
        <f>P156+P165</f>
        <v>0</v>
      </c>
      <c r="Q167" s="97">
        <f>Q156+Q165</f>
        <v>0</v>
      </c>
      <c r="S167" s="97">
        <f t="shared" ref="S167:AD167" si="118">S156+S165</f>
        <v>0</v>
      </c>
      <c r="T167" s="97">
        <f t="shared" si="118"/>
        <v>0</v>
      </c>
      <c r="U167" s="97">
        <f t="shared" si="118"/>
        <v>0</v>
      </c>
      <c r="V167" s="97">
        <f t="shared" si="118"/>
        <v>0</v>
      </c>
      <c r="W167" s="97">
        <f t="shared" si="118"/>
        <v>0</v>
      </c>
      <c r="X167" s="97">
        <f t="shared" si="118"/>
        <v>0</v>
      </c>
      <c r="Y167" s="97">
        <f t="shared" si="118"/>
        <v>0</v>
      </c>
      <c r="Z167" s="97">
        <f t="shared" si="118"/>
        <v>0</v>
      </c>
      <c r="AA167" s="97">
        <f t="shared" si="118"/>
        <v>0</v>
      </c>
      <c r="AB167" s="97">
        <f t="shared" si="118"/>
        <v>0</v>
      </c>
      <c r="AC167" s="97">
        <f t="shared" si="118"/>
        <v>0</v>
      </c>
      <c r="AD167" s="97">
        <f t="shared" si="118"/>
        <v>0</v>
      </c>
      <c r="AF167" s="97">
        <f>AF156+AF165</f>
        <v>0</v>
      </c>
      <c r="AH167" s="97">
        <f>AH156+AH165</f>
        <v>0</v>
      </c>
      <c r="AJ167" s="97">
        <f>AJ156+AJ165</f>
        <v>0</v>
      </c>
      <c r="AK167" s="98">
        <f>SUM(H167:AJ167)</f>
        <v>527958344.33056575</v>
      </c>
      <c r="AL167" s="95" t="str">
        <f>IF(ABS(AK167-F167)&lt;1,"ok","err")</f>
        <v>ok</v>
      </c>
    </row>
    <row r="168" spans="1:38" x14ac:dyDescent="0.25">
      <c r="F168" s="97"/>
      <c r="Y168" s="94"/>
      <c r="AL168" s="95"/>
    </row>
    <row r="169" spans="1:38" x14ac:dyDescent="0.25">
      <c r="A169" s="16" t="s">
        <v>2033</v>
      </c>
      <c r="Y169" s="94"/>
      <c r="AL169" s="95"/>
    </row>
    <row r="170" spans="1:38" x14ac:dyDescent="0.25">
      <c r="A170" s="109">
        <v>535</v>
      </c>
      <c r="B170" s="94" t="s">
        <v>1921</v>
      </c>
      <c r="C170" s="94" t="s">
        <v>2066</v>
      </c>
      <c r="D170" s="94" t="s">
        <v>886</v>
      </c>
      <c r="F170" s="97">
        <f>'Jurisdictional Study'!F956</f>
        <v>6861.0856980262906</v>
      </c>
      <c r="H170" s="98">
        <f>IF(VLOOKUP($D170,$C$5:$AJ$646,6,)=0,0,((VLOOKUP($D170,$C$5:$AJ$646,6,)/VLOOKUP($D170,$C$5:$AJ$646,4,))*$F170))</f>
        <v>2357.1018213616076</v>
      </c>
      <c r="I170" s="98">
        <f>IF(VLOOKUP($D170,$C$5:$AJ$646,7,)=0,0,((VLOOKUP($D170,$C$5:$AJ$646,7,)/VLOOKUP($D170,$C$5:$AJ$646,4,))*$F170))</f>
        <v>2221.9874382827334</v>
      </c>
      <c r="J170" s="98">
        <f>IF(VLOOKUP($D170,$C$5:$AJ$646,8,)=0,0,((VLOOKUP($D170,$C$5:$AJ$646,8,)/VLOOKUP($D170,$C$5:$AJ$646,4,))*$F170))</f>
        <v>2281.9964383819497</v>
      </c>
      <c r="K170" s="98">
        <f>IF(VLOOKUP($D170,$C$5:$AJ$646,9,)=0,0,((VLOOKUP($D170,$C$5:$AJ$646,9,)/VLOOKUP($D170,$C$5:$AJ$646,4,))*$F170))</f>
        <v>0</v>
      </c>
      <c r="L170" s="98">
        <f>IF(VLOOKUP($D170,$C$5:$AJ$646,10,)=0,0,((VLOOKUP($D170,$C$5:$AJ$646,10,)/VLOOKUP($D170,$C$5:$AJ$646,4,))*$F170))</f>
        <v>0</v>
      </c>
      <c r="M170" s="98">
        <f>IF(VLOOKUP($D170,$C$5:$AJ$646,11,)=0,0,((VLOOKUP($D170,$C$5:$AJ$646,11,)/VLOOKUP($D170,$C$5:$AJ$646,4,))*$F170))</f>
        <v>0</v>
      </c>
      <c r="N170" s="98"/>
      <c r="O170" s="98">
        <f>IF(VLOOKUP($D170,$C$5:$AJ$646,13,)=0,0,((VLOOKUP($D170,$C$5:$AJ$646,13,)/VLOOKUP($D170,$C$5:$AJ$646,4,))*$F170))</f>
        <v>0</v>
      </c>
      <c r="P170" s="98">
        <f>IF(VLOOKUP($D170,$C$5:$AJ$646,14,)=0,0,((VLOOKUP($D170,$C$5:$AJ$646,14,)/VLOOKUP($D170,$C$5:$AJ$646,4,))*$F170))</f>
        <v>0</v>
      </c>
      <c r="Q170" s="98">
        <f>IF(VLOOKUP($D170,$C$5:$AJ$646,15,)=0,0,((VLOOKUP($D170,$C$5:$AJ$646,15,)/VLOOKUP($D170,$C$5:$AJ$646,4,))*$F170))</f>
        <v>0</v>
      </c>
      <c r="R170" s="98"/>
      <c r="S170" s="98">
        <f>IF(VLOOKUP($D170,$C$5:$AJ$646,17,)=0,0,((VLOOKUP($D170,$C$5:$AJ$646,17,)/VLOOKUP($D170,$C$5:$AJ$646,4,))*$F170))</f>
        <v>0</v>
      </c>
      <c r="T170" s="98">
        <f>IF(VLOOKUP($D170,$C$5:$AJ$646,18,)=0,0,((VLOOKUP($D170,$C$5:$AJ$646,18,)/VLOOKUP($D170,$C$5:$AJ$646,4,))*$F170))</f>
        <v>0</v>
      </c>
      <c r="U170" s="98">
        <f>IF(VLOOKUP($D170,$C$5:$AJ$646,19,)=0,0,((VLOOKUP($D170,$C$5:$AJ$646,19,)/VLOOKUP($D170,$C$5:$AJ$646,4,))*$F170))</f>
        <v>0</v>
      </c>
      <c r="V170" s="98">
        <f>IF(VLOOKUP($D170,$C$5:$AJ$646,20,)=0,0,((VLOOKUP($D170,$C$5:$AJ$646,20,)/VLOOKUP($D170,$C$5:$AJ$646,4,))*$F170))</f>
        <v>0</v>
      </c>
      <c r="W170" s="98">
        <f>IF(VLOOKUP($D170,$C$5:$AJ$646,21,)=0,0,((VLOOKUP($D170,$C$5:$AJ$646,21,)/VLOOKUP($D170,$C$5:$AJ$646,4,))*$F170))</f>
        <v>0</v>
      </c>
      <c r="X170" s="98">
        <f>IF(VLOOKUP($D170,$C$5:$AJ$646,22,)=0,0,((VLOOKUP($D170,$C$5:$AJ$646,22,)/VLOOKUP($D170,$C$5:$AJ$646,4,))*$F170))</f>
        <v>0</v>
      </c>
      <c r="Y170" s="98">
        <f>IF(VLOOKUP($D170,$C$5:$AJ$646,23,)=0,0,((VLOOKUP($D170,$C$5:$AJ$646,23,)/VLOOKUP($D170,$C$5:$AJ$646,4,))*$F170))</f>
        <v>0</v>
      </c>
      <c r="Z170" s="98">
        <f>IF(VLOOKUP($D170,$C$5:$AJ$646,24,)=0,0,((VLOOKUP($D170,$C$5:$AJ$646,24,)/VLOOKUP($D170,$C$5:$AJ$646,4,))*$F170))</f>
        <v>0</v>
      </c>
      <c r="AA170" s="98">
        <f>IF(VLOOKUP($D170,$C$5:$AJ$646,25,)=0,0,((VLOOKUP($D170,$C$5:$AJ$646,25,)/VLOOKUP($D170,$C$5:$AJ$646,4,))*$F170))</f>
        <v>0</v>
      </c>
      <c r="AB170" s="98">
        <f>IF(VLOOKUP($D170,$C$5:$AJ$646,26,)=0,0,((VLOOKUP($D170,$C$5:$AJ$646,26,)/VLOOKUP($D170,$C$5:$AJ$646,4,))*$F170))</f>
        <v>0</v>
      </c>
      <c r="AC170" s="98">
        <f>IF(VLOOKUP($D170,$C$5:$AJ$646,27,)=0,0,((VLOOKUP($D170,$C$5:$AJ$646,27,)/VLOOKUP($D170,$C$5:$AJ$646,4,))*$F170))</f>
        <v>0</v>
      </c>
      <c r="AD170" s="98">
        <f>IF(VLOOKUP($D170,$C$5:$AJ$646,28,)=0,0,((VLOOKUP($D170,$C$5:$AJ$646,28,)/VLOOKUP($D170,$C$5:$AJ$646,4,))*$F170))</f>
        <v>0</v>
      </c>
      <c r="AE170" s="98"/>
      <c r="AF170" s="98">
        <f>IF(VLOOKUP($D170,$C$5:$AJ$646,30,)=0,0,((VLOOKUP($D170,$C$5:$AJ$646,30,)/VLOOKUP($D170,$C$5:$AJ$646,4,))*$F170))</f>
        <v>0</v>
      </c>
      <c r="AG170" s="98"/>
      <c r="AH170" s="98">
        <f>IF(VLOOKUP($D170,$C$5:$AJ$646,32,)=0,0,((VLOOKUP($D170,$C$5:$AJ$646,32,)/VLOOKUP($D170,$C$5:$AJ$646,4,))*$F170))</f>
        <v>0</v>
      </c>
      <c r="AI170" s="98"/>
      <c r="AJ170" s="98">
        <f>IF(VLOOKUP($D170,$C$5:$AJ$646,34,)=0,0,((VLOOKUP($D170,$C$5:$AJ$646,34,)/VLOOKUP($D170,$C$5:$AJ$646,4,))*$F170))</f>
        <v>0</v>
      </c>
      <c r="AK170" s="98">
        <f t="shared" ref="AK170:AK175" si="119">SUM(H170:AJ170)</f>
        <v>6861.0856980262906</v>
      </c>
      <c r="AL170" s="95" t="str">
        <f t="shared" ref="AL170:AL175" si="120">IF(ABS(AK170-F170)&lt;1,"ok","err")</f>
        <v>ok</v>
      </c>
    </row>
    <row r="171" spans="1:38" x14ac:dyDescent="0.25">
      <c r="A171" s="110">
        <v>536</v>
      </c>
      <c r="B171" s="94" t="s">
        <v>2040</v>
      </c>
      <c r="C171" s="94" t="s">
        <v>2067</v>
      </c>
      <c r="D171" s="94" t="s">
        <v>885</v>
      </c>
      <c r="F171" s="98">
        <f>'Jurisdictional Study'!F957</f>
        <v>0</v>
      </c>
      <c r="H171" s="98">
        <f>IF(VLOOKUP($D171,$C$5:$AJ$646,6,)=0,0,((VLOOKUP($D171,$C$5:$AJ$646,6,)/VLOOKUP($D171,$C$5:$AJ$646,4,))*$F171))</f>
        <v>0</v>
      </c>
      <c r="I171" s="98">
        <f>IF(VLOOKUP($D171,$C$5:$AJ$646,7,)=0,0,((VLOOKUP($D171,$C$5:$AJ$646,7,)/VLOOKUP($D171,$C$5:$AJ$646,4,))*$F171))</f>
        <v>0</v>
      </c>
      <c r="J171" s="98">
        <f>IF(VLOOKUP($D171,$C$5:$AJ$646,8,)=0,0,((VLOOKUP($D171,$C$5:$AJ$646,8,)/VLOOKUP($D171,$C$5:$AJ$646,4,))*$F171))</f>
        <v>0</v>
      </c>
      <c r="K171" s="98">
        <f>IF(VLOOKUP($D171,$C$5:$AJ$646,9,)=0,0,((VLOOKUP($D171,$C$5:$AJ$646,9,)/VLOOKUP($D171,$C$5:$AJ$646,4,))*$F171))</f>
        <v>0</v>
      </c>
      <c r="L171" s="98">
        <f>IF(VLOOKUP($D171,$C$5:$AJ$646,10,)=0,0,((VLOOKUP($D171,$C$5:$AJ$646,10,)/VLOOKUP($D171,$C$5:$AJ$646,4,))*$F171))</f>
        <v>0</v>
      </c>
      <c r="M171" s="98">
        <f>IF(VLOOKUP($D171,$C$5:$AJ$646,11,)=0,0,((VLOOKUP($D171,$C$5:$AJ$646,11,)/VLOOKUP($D171,$C$5:$AJ$646,4,))*$F171))</f>
        <v>0</v>
      </c>
      <c r="N171" s="98"/>
      <c r="O171" s="98">
        <f>IF(VLOOKUP($D171,$C$5:$AJ$646,13,)=0,0,((VLOOKUP($D171,$C$5:$AJ$646,13,)/VLOOKUP($D171,$C$5:$AJ$646,4,))*$F171))</f>
        <v>0</v>
      </c>
      <c r="P171" s="98">
        <f>IF(VLOOKUP($D171,$C$5:$AJ$646,14,)=0,0,((VLOOKUP($D171,$C$5:$AJ$646,14,)/VLOOKUP($D171,$C$5:$AJ$646,4,))*$F171))</f>
        <v>0</v>
      </c>
      <c r="Q171" s="98">
        <f>IF(VLOOKUP($D171,$C$5:$AJ$646,15,)=0,0,((VLOOKUP($D171,$C$5:$AJ$646,15,)/VLOOKUP($D171,$C$5:$AJ$646,4,))*$F171))</f>
        <v>0</v>
      </c>
      <c r="R171" s="98"/>
      <c r="S171" s="98">
        <f>IF(VLOOKUP($D171,$C$5:$AJ$646,17,)=0,0,((VLOOKUP($D171,$C$5:$AJ$646,17,)/VLOOKUP($D171,$C$5:$AJ$646,4,))*$F171))</f>
        <v>0</v>
      </c>
      <c r="T171" s="98">
        <f>IF(VLOOKUP($D171,$C$5:$AJ$646,18,)=0,0,((VLOOKUP($D171,$C$5:$AJ$646,18,)/VLOOKUP($D171,$C$5:$AJ$646,4,))*$F171))</f>
        <v>0</v>
      </c>
      <c r="U171" s="98">
        <f>IF(VLOOKUP($D171,$C$5:$AJ$646,19,)=0,0,((VLOOKUP($D171,$C$5:$AJ$646,19,)/VLOOKUP($D171,$C$5:$AJ$646,4,))*$F171))</f>
        <v>0</v>
      </c>
      <c r="V171" s="98">
        <f>IF(VLOOKUP($D171,$C$5:$AJ$646,20,)=0,0,((VLOOKUP($D171,$C$5:$AJ$646,20,)/VLOOKUP($D171,$C$5:$AJ$646,4,))*$F171))</f>
        <v>0</v>
      </c>
      <c r="W171" s="98">
        <f>IF(VLOOKUP($D171,$C$5:$AJ$646,21,)=0,0,((VLOOKUP($D171,$C$5:$AJ$646,21,)/VLOOKUP($D171,$C$5:$AJ$646,4,))*$F171))</f>
        <v>0</v>
      </c>
      <c r="X171" s="98">
        <f>IF(VLOOKUP($D171,$C$5:$AJ$646,22,)=0,0,((VLOOKUP($D171,$C$5:$AJ$646,22,)/VLOOKUP($D171,$C$5:$AJ$646,4,))*$F171))</f>
        <v>0</v>
      </c>
      <c r="Y171" s="98">
        <f>IF(VLOOKUP($D171,$C$5:$AJ$646,23,)=0,0,((VLOOKUP($D171,$C$5:$AJ$646,23,)/VLOOKUP($D171,$C$5:$AJ$646,4,))*$F171))</f>
        <v>0</v>
      </c>
      <c r="Z171" s="98">
        <f>IF(VLOOKUP($D171,$C$5:$AJ$646,24,)=0,0,((VLOOKUP($D171,$C$5:$AJ$646,24,)/VLOOKUP($D171,$C$5:$AJ$646,4,))*$F171))</f>
        <v>0</v>
      </c>
      <c r="AA171" s="98">
        <f>IF(VLOOKUP($D171,$C$5:$AJ$646,25,)=0,0,((VLOOKUP($D171,$C$5:$AJ$646,25,)/VLOOKUP($D171,$C$5:$AJ$646,4,))*$F171))</f>
        <v>0</v>
      </c>
      <c r="AB171" s="98">
        <f>IF(VLOOKUP($D171,$C$5:$AJ$646,26,)=0,0,((VLOOKUP($D171,$C$5:$AJ$646,26,)/VLOOKUP($D171,$C$5:$AJ$646,4,))*$F171))</f>
        <v>0</v>
      </c>
      <c r="AC171" s="98">
        <f>IF(VLOOKUP($D171,$C$5:$AJ$646,27,)=0,0,((VLOOKUP($D171,$C$5:$AJ$646,27,)/VLOOKUP($D171,$C$5:$AJ$646,4,))*$F171))</f>
        <v>0</v>
      </c>
      <c r="AD171" s="98">
        <f>IF(VLOOKUP($D171,$C$5:$AJ$646,28,)=0,0,((VLOOKUP($D171,$C$5:$AJ$646,28,)/VLOOKUP($D171,$C$5:$AJ$646,4,))*$F171))</f>
        <v>0</v>
      </c>
      <c r="AE171" s="98"/>
      <c r="AF171" s="98">
        <f>IF(VLOOKUP($D171,$C$5:$AJ$646,30,)=0,0,((VLOOKUP($D171,$C$5:$AJ$646,30,)/VLOOKUP($D171,$C$5:$AJ$646,4,))*$F171))</f>
        <v>0</v>
      </c>
      <c r="AG171" s="98"/>
      <c r="AH171" s="98">
        <f>IF(VLOOKUP($D171,$C$5:$AJ$646,32,)=0,0,((VLOOKUP($D171,$C$5:$AJ$646,32,)/VLOOKUP($D171,$C$5:$AJ$646,4,))*$F171))</f>
        <v>0</v>
      </c>
      <c r="AI171" s="98"/>
      <c r="AJ171" s="98">
        <f>IF(VLOOKUP($D171,$C$5:$AJ$646,34,)=0,0,((VLOOKUP($D171,$C$5:$AJ$646,34,)/VLOOKUP($D171,$C$5:$AJ$646,4,))*$F171))</f>
        <v>0</v>
      </c>
      <c r="AK171" s="98">
        <f t="shared" si="119"/>
        <v>0</v>
      </c>
      <c r="AL171" s="95" t="str">
        <f t="shared" si="120"/>
        <v>ok</v>
      </c>
    </row>
    <row r="172" spans="1:38" x14ac:dyDescent="0.25">
      <c r="A172" s="94">
        <v>537</v>
      </c>
      <c r="B172" s="94" t="s">
        <v>2039</v>
      </c>
      <c r="C172" s="94" t="s">
        <v>2068</v>
      </c>
      <c r="D172" s="94" t="s">
        <v>885</v>
      </c>
      <c r="F172" s="98">
        <f>'Jurisdictional Study'!F958</f>
        <v>0</v>
      </c>
      <c r="H172" s="98">
        <f>IF(VLOOKUP($D172,$C$5:$AJ$646,6,)=0,0,((VLOOKUP($D172,$C$5:$AJ$646,6,)/VLOOKUP($D172,$C$5:$AJ$646,4,))*$F172))</f>
        <v>0</v>
      </c>
      <c r="I172" s="98">
        <f>IF(VLOOKUP($D172,$C$5:$AJ$646,7,)=0,0,((VLOOKUP($D172,$C$5:$AJ$646,7,)/VLOOKUP($D172,$C$5:$AJ$646,4,))*$F172))</f>
        <v>0</v>
      </c>
      <c r="J172" s="98">
        <f>IF(VLOOKUP($D172,$C$5:$AJ$646,8,)=0,0,((VLOOKUP($D172,$C$5:$AJ$646,8,)/VLOOKUP($D172,$C$5:$AJ$646,4,))*$F172))</f>
        <v>0</v>
      </c>
      <c r="K172" s="98">
        <f>IF(VLOOKUP($D172,$C$5:$AJ$646,9,)=0,0,((VLOOKUP($D172,$C$5:$AJ$646,9,)/VLOOKUP($D172,$C$5:$AJ$646,4,))*$F172))</f>
        <v>0</v>
      </c>
      <c r="L172" s="98">
        <f>IF(VLOOKUP($D172,$C$5:$AJ$646,10,)=0,0,((VLOOKUP($D172,$C$5:$AJ$646,10,)/VLOOKUP($D172,$C$5:$AJ$646,4,))*$F172))</f>
        <v>0</v>
      </c>
      <c r="M172" s="98">
        <f>IF(VLOOKUP($D172,$C$5:$AJ$646,11,)=0,0,((VLOOKUP($D172,$C$5:$AJ$646,11,)/VLOOKUP($D172,$C$5:$AJ$646,4,))*$F172))</f>
        <v>0</v>
      </c>
      <c r="N172" s="98"/>
      <c r="O172" s="98">
        <f>IF(VLOOKUP($D172,$C$5:$AJ$646,13,)=0,0,((VLOOKUP($D172,$C$5:$AJ$646,13,)/VLOOKUP($D172,$C$5:$AJ$646,4,))*$F172))</f>
        <v>0</v>
      </c>
      <c r="P172" s="98">
        <f>IF(VLOOKUP($D172,$C$5:$AJ$646,14,)=0,0,((VLOOKUP($D172,$C$5:$AJ$646,14,)/VLOOKUP($D172,$C$5:$AJ$646,4,))*$F172))</f>
        <v>0</v>
      </c>
      <c r="Q172" s="98">
        <f>IF(VLOOKUP($D172,$C$5:$AJ$646,15,)=0,0,((VLOOKUP($D172,$C$5:$AJ$646,15,)/VLOOKUP($D172,$C$5:$AJ$646,4,))*$F172))</f>
        <v>0</v>
      </c>
      <c r="R172" s="98"/>
      <c r="S172" s="98">
        <f>IF(VLOOKUP($D172,$C$5:$AJ$646,17,)=0,0,((VLOOKUP($D172,$C$5:$AJ$646,17,)/VLOOKUP($D172,$C$5:$AJ$646,4,))*$F172))</f>
        <v>0</v>
      </c>
      <c r="T172" s="98">
        <f>IF(VLOOKUP($D172,$C$5:$AJ$646,18,)=0,0,((VLOOKUP($D172,$C$5:$AJ$646,18,)/VLOOKUP($D172,$C$5:$AJ$646,4,))*$F172))</f>
        <v>0</v>
      </c>
      <c r="U172" s="98">
        <f>IF(VLOOKUP($D172,$C$5:$AJ$646,19,)=0,0,((VLOOKUP($D172,$C$5:$AJ$646,19,)/VLOOKUP($D172,$C$5:$AJ$646,4,))*$F172))</f>
        <v>0</v>
      </c>
      <c r="V172" s="98">
        <f>IF(VLOOKUP($D172,$C$5:$AJ$646,20,)=0,0,((VLOOKUP($D172,$C$5:$AJ$646,20,)/VLOOKUP($D172,$C$5:$AJ$646,4,))*$F172))</f>
        <v>0</v>
      </c>
      <c r="W172" s="98">
        <f>IF(VLOOKUP($D172,$C$5:$AJ$646,21,)=0,0,((VLOOKUP($D172,$C$5:$AJ$646,21,)/VLOOKUP($D172,$C$5:$AJ$646,4,))*$F172))</f>
        <v>0</v>
      </c>
      <c r="X172" s="98">
        <f>IF(VLOOKUP($D172,$C$5:$AJ$646,22,)=0,0,((VLOOKUP($D172,$C$5:$AJ$646,22,)/VLOOKUP($D172,$C$5:$AJ$646,4,))*$F172))</f>
        <v>0</v>
      </c>
      <c r="Y172" s="98">
        <f>IF(VLOOKUP($D172,$C$5:$AJ$646,23,)=0,0,((VLOOKUP($D172,$C$5:$AJ$646,23,)/VLOOKUP($D172,$C$5:$AJ$646,4,))*$F172))</f>
        <v>0</v>
      </c>
      <c r="Z172" s="98">
        <f>IF(VLOOKUP($D172,$C$5:$AJ$646,24,)=0,0,((VLOOKUP($D172,$C$5:$AJ$646,24,)/VLOOKUP($D172,$C$5:$AJ$646,4,))*$F172))</f>
        <v>0</v>
      </c>
      <c r="AA172" s="98">
        <f>IF(VLOOKUP($D172,$C$5:$AJ$646,25,)=0,0,((VLOOKUP($D172,$C$5:$AJ$646,25,)/VLOOKUP($D172,$C$5:$AJ$646,4,))*$F172))</f>
        <v>0</v>
      </c>
      <c r="AB172" s="98">
        <f>IF(VLOOKUP($D172,$C$5:$AJ$646,26,)=0,0,((VLOOKUP($D172,$C$5:$AJ$646,26,)/VLOOKUP($D172,$C$5:$AJ$646,4,))*$F172))</f>
        <v>0</v>
      </c>
      <c r="AC172" s="98">
        <f>IF(VLOOKUP($D172,$C$5:$AJ$646,27,)=0,0,((VLOOKUP($D172,$C$5:$AJ$646,27,)/VLOOKUP($D172,$C$5:$AJ$646,4,))*$F172))</f>
        <v>0</v>
      </c>
      <c r="AD172" s="98">
        <f>IF(VLOOKUP($D172,$C$5:$AJ$646,28,)=0,0,((VLOOKUP($D172,$C$5:$AJ$646,28,)/VLOOKUP($D172,$C$5:$AJ$646,4,))*$F172))</f>
        <v>0</v>
      </c>
      <c r="AE172" s="98"/>
      <c r="AF172" s="98">
        <f>IF(VLOOKUP($D172,$C$5:$AJ$646,30,)=0,0,((VLOOKUP($D172,$C$5:$AJ$646,30,)/VLOOKUP($D172,$C$5:$AJ$646,4,))*$F172))</f>
        <v>0</v>
      </c>
      <c r="AG172" s="98"/>
      <c r="AH172" s="98">
        <f>IF(VLOOKUP($D172,$C$5:$AJ$646,32,)=0,0,((VLOOKUP($D172,$C$5:$AJ$646,32,)/VLOOKUP($D172,$C$5:$AJ$646,4,))*$F172))</f>
        <v>0</v>
      </c>
      <c r="AI172" s="98"/>
      <c r="AJ172" s="98">
        <f>IF(VLOOKUP($D172,$C$5:$AJ$646,34,)=0,0,((VLOOKUP($D172,$C$5:$AJ$646,34,)/VLOOKUP($D172,$C$5:$AJ$646,4,))*$F172))</f>
        <v>0</v>
      </c>
      <c r="AK172" s="98">
        <f t="shared" si="119"/>
        <v>0</v>
      </c>
      <c r="AL172" s="95" t="str">
        <f t="shared" si="120"/>
        <v>ok</v>
      </c>
    </row>
    <row r="173" spans="1:38" x14ac:dyDescent="0.25">
      <c r="A173" s="108">
        <v>538</v>
      </c>
      <c r="B173" s="94" t="s">
        <v>1927</v>
      </c>
      <c r="C173" s="94" t="s">
        <v>2069</v>
      </c>
      <c r="F173" s="98">
        <f>'Jurisdictional Study'!F959</f>
        <v>0</v>
      </c>
      <c r="H173" s="98">
        <f>H383</f>
        <v>0</v>
      </c>
      <c r="I173" s="98">
        <f>I383</f>
        <v>0</v>
      </c>
      <c r="J173" s="98">
        <f>J383</f>
        <v>0</v>
      </c>
      <c r="K173" s="98">
        <f>F173-H173-I173-J173</f>
        <v>0</v>
      </c>
      <c r="L173" s="98">
        <v>0</v>
      </c>
      <c r="M173" s="98">
        <v>0</v>
      </c>
      <c r="N173" s="98"/>
      <c r="O173" s="98">
        <v>0</v>
      </c>
      <c r="P173" s="98">
        <v>0</v>
      </c>
      <c r="Q173" s="98">
        <v>0</v>
      </c>
      <c r="R173" s="98"/>
      <c r="S173" s="98">
        <v>0</v>
      </c>
      <c r="T173" s="98">
        <v>0</v>
      </c>
      <c r="U173" s="98">
        <v>0</v>
      </c>
      <c r="V173" s="98">
        <v>0</v>
      </c>
      <c r="W173" s="98">
        <v>0</v>
      </c>
      <c r="X173" s="98">
        <v>0</v>
      </c>
      <c r="Y173" s="98">
        <v>0</v>
      </c>
      <c r="Z173" s="98">
        <v>0</v>
      </c>
      <c r="AA173" s="98">
        <v>0</v>
      </c>
      <c r="AB173" s="98">
        <v>0</v>
      </c>
      <c r="AC173" s="98">
        <v>0</v>
      </c>
      <c r="AD173" s="98">
        <v>0</v>
      </c>
      <c r="AE173" s="98"/>
      <c r="AF173" s="98">
        <v>0</v>
      </c>
      <c r="AG173" s="98"/>
      <c r="AH173" s="98">
        <v>0</v>
      </c>
      <c r="AI173" s="98"/>
      <c r="AJ173" s="98">
        <v>0</v>
      </c>
      <c r="AK173" s="98">
        <f t="shared" si="119"/>
        <v>0</v>
      </c>
      <c r="AL173" s="95" t="str">
        <f t="shared" si="120"/>
        <v>ok</v>
      </c>
    </row>
    <row r="174" spans="1:38" x14ac:dyDescent="0.25">
      <c r="A174" s="94">
        <v>539</v>
      </c>
      <c r="B174" s="94" t="s">
        <v>823</v>
      </c>
      <c r="C174" s="94" t="s">
        <v>2070</v>
      </c>
      <c r="D174" s="94" t="s">
        <v>885</v>
      </c>
      <c r="F174" s="98">
        <f>'Jurisdictional Study'!F960</f>
        <v>38552.624130675809</v>
      </c>
      <c r="H174" s="98">
        <f>IF(VLOOKUP($D174,$C$5:$AJ$646,6,)=0,0,((VLOOKUP($D174,$C$5:$AJ$646,6,)/VLOOKUP($D174,$C$5:$AJ$646,4,))*$F174))</f>
        <v>13244.618207119383</v>
      </c>
      <c r="I174" s="98">
        <f>IF(VLOOKUP($D174,$C$5:$AJ$646,7,)=0,0,((VLOOKUP($D174,$C$5:$AJ$646,7,)/VLOOKUP($D174,$C$5:$AJ$646,4,))*$F174))</f>
        <v>12485.406873119218</v>
      </c>
      <c r="J174" s="98">
        <f>IF(VLOOKUP($D174,$C$5:$AJ$646,8,)=0,0,((VLOOKUP($D174,$C$5:$AJ$646,8,)/VLOOKUP($D174,$C$5:$AJ$646,4,))*$F174))</f>
        <v>12822.599050437208</v>
      </c>
      <c r="K174" s="98">
        <f>IF(VLOOKUP($D174,$C$5:$AJ$646,9,)=0,0,((VLOOKUP($D174,$C$5:$AJ$646,9,)/VLOOKUP($D174,$C$5:$AJ$646,4,))*$F174))</f>
        <v>0</v>
      </c>
      <c r="L174" s="98">
        <f>IF(VLOOKUP($D174,$C$5:$AJ$646,10,)=0,0,((VLOOKUP($D174,$C$5:$AJ$646,10,)/VLOOKUP($D174,$C$5:$AJ$646,4,))*$F174))</f>
        <v>0</v>
      </c>
      <c r="M174" s="98">
        <f>IF(VLOOKUP($D174,$C$5:$AJ$646,11,)=0,0,((VLOOKUP($D174,$C$5:$AJ$646,11,)/VLOOKUP($D174,$C$5:$AJ$646,4,))*$F174))</f>
        <v>0</v>
      </c>
      <c r="N174" s="98"/>
      <c r="O174" s="98">
        <f>IF(VLOOKUP($D174,$C$5:$AJ$646,13,)=0,0,((VLOOKUP($D174,$C$5:$AJ$646,13,)/VLOOKUP($D174,$C$5:$AJ$646,4,))*$F174))</f>
        <v>0</v>
      </c>
      <c r="P174" s="98">
        <f>IF(VLOOKUP($D174,$C$5:$AJ$646,14,)=0,0,((VLOOKUP($D174,$C$5:$AJ$646,14,)/VLOOKUP($D174,$C$5:$AJ$646,4,))*$F174))</f>
        <v>0</v>
      </c>
      <c r="Q174" s="98">
        <f>IF(VLOOKUP($D174,$C$5:$AJ$646,15,)=0,0,((VLOOKUP($D174,$C$5:$AJ$646,15,)/VLOOKUP($D174,$C$5:$AJ$646,4,))*$F174))</f>
        <v>0</v>
      </c>
      <c r="R174" s="98"/>
      <c r="S174" s="98">
        <f>IF(VLOOKUP($D174,$C$5:$AJ$646,17,)=0,0,((VLOOKUP($D174,$C$5:$AJ$646,17,)/VLOOKUP($D174,$C$5:$AJ$646,4,))*$F174))</f>
        <v>0</v>
      </c>
      <c r="T174" s="98">
        <f>IF(VLOOKUP($D174,$C$5:$AJ$646,18,)=0,0,((VLOOKUP($D174,$C$5:$AJ$646,18,)/VLOOKUP($D174,$C$5:$AJ$646,4,))*$F174))</f>
        <v>0</v>
      </c>
      <c r="U174" s="98">
        <f>IF(VLOOKUP($D174,$C$5:$AJ$646,19,)=0,0,((VLOOKUP($D174,$C$5:$AJ$646,19,)/VLOOKUP($D174,$C$5:$AJ$646,4,))*$F174))</f>
        <v>0</v>
      </c>
      <c r="V174" s="98">
        <f>IF(VLOOKUP($D174,$C$5:$AJ$646,20,)=0,0,((VLOOKUP($D174,$C$5:$AJ$646,20,)/VLOOKUP($D174,$C$5:$AJ$646,4,))*$F174))</f>
        <v>0</v>
      </c>
      <c r="W174" s="98">
        <f>IF(VLOOKUP($D174,$C$5:$AJ$646,21,)=0,0,((VLOOKUP($D174,$C$5:$AJ$646,21,)/VLOOKUP($D174,$C$5:$AJ$646,4,))*$F174))</f>
        <v>0</v>
      </c>
      <c r="X174" s="98">
        <f>IF(VLOOKUP($D174,$C$5:$AJ$646,22,)=0,0,((VLOOKUP($D174,$C$5:$AJ$646,22,)/VLOOKUP($D174,$C$5:$AJ$646,4,))*$F174))</f>
        <v>0</v>
      </c>
      <c r="Y174" s="98">
        <f>IF(VLOOKUP($D174,$C$5:$AJ$646,23,)=0,0,((VLOOKUP($D174,$C$5:$AJ$646,23,)/VLOOKUP($D174,$C$5:$AJ$646,4,))*$F174))</f>
        <v>0</v>
      </c>
      <c r="Z174" s="98">
        <f>IF(VLOOKUP($D174,$C$5:$AJ$646,24,)=0,0,((VLOOKUP($D174,$C$5:$AJ$646,24,)/VLOOKUP($D174,$C$5:$AJ$646,4,))*$F174))</f>
        <v>0</v>
      </c>
      <c r="AA174" s="98">
        <f>IF(VLOOKUP($D174,$C$5:$AJ$646,25,)=0,0,((VLOOKUP($D174,$C$5:$AJ$646,25,)/VLOOKUP($D174,$C$5:$AJ$646,4,))*$F174))</f>
        <v>0</v>
      </c>
      <c r="AB174" s="98">
        <f>IF(VLOOKUP($D174,$C$5:$AJ$646,26,)=0,0,((VLOOKUP($D174,$C$5:$AJ$646,26,)/VLOOKUP($D174,$C$5:$AJ$646,4,))*$F174))</f>
        <v>0</v>
      </c>
      <c r="AC174" s="98">
        <f>IF(VLOOKUP($D174,$C$5:$AJ$646,27,)=0,0,((VLOOKUP($D174,$C$5:$AJ$646,27,)/VLOOKUP($D174,$C$5:$AJ$646,4,))*$F174))</f>
        <v>0</v>
      </c>
      <c r="AD174" s="98">
        <f>IF(VLOOKUP($D174,$C$5:$AJ$646,28,)=0,0,((VLOOKUP($D174,$C$5:$AJ$646,28,)/VLOOKUP($D174,$C$5:$AJ$646,4,))*$F174))</f>
        <v>0</v>
      </c>
      <c r="AE174" s="98"/>
      <c r="AF174" s="98">
        <f>IF(VLOOKUP($D174,$C$5:$AJ$646,30,)=0,0,((VLOOKUP($D174,$C$5:$AJ$646,30,)/VLOOKUP($D174,$C$5:$AJ$646,4,))*$F174))</f>
        <v>0</v>
      </c>
      <c r="AG174" s="98"/>
      <c r="AH174" s="98">
        <f>IF(VLOOKUP($D174,$C$5:$AJ$646,32,)=0,0,((VLOOKUP($D174,$C$5:$AJ$646,32,)/VLOOKUP($D174,$C$5:$AJ$646,4,))*$F174))</f>
        <v>0</v>
      </c>
      <c r="AI174" s="98"/>
      <c r="AJ174" s="98">
        <f>IF(VLOOKUP($D174,$C$5:$AJ$646,34,)=0,0,((VLOOKUP($D174,$C$5:$AJ$646,34,)/VLOOKUP($D174,$C$5:$AJ$646,4,))*$F174))</f>
        <v>0</v>
      </c>
      <c r="AK174" s="98">
        <f t="shared" si="119"/>
        <v>38552.624130675809</v>
      </c>
      <c r="AL174" s="95" t="str">
        <f t="shared" si="120"/>
        <v>ok</v>
      </c>
    </row>
    <row r="175" spans="1:38" x14ac:dyDescent="0.25">
      <c r="A175" s="108">
        <v>540</v>
      </c>
      <c r="B175" s="94" t="s">
        <v>455</v>
      </c>
      <c r="D175" s="94" t="s">
        <v>885</v>
      </c>
      <c r="F175" s="98">
        <f>'Jurisdictional Study'!F961</f>
        <v>0</v>
      </c>
      <c r="H175" s="98">
        <f>IF(VLOOKUP($D175,$C$5:$AJ$646,6,)=0,0,((VLOOKUP($D175,$C$5:$AJ$646,6,)/VLOOKUP($D175,$C$5:$AJ$646,4,))*$F175))</f>
        <v>0</v>
      </c>
      <c r="I175" s="98">
        <f>IF(VLOOKUP($D175,$C$5:$AJ$646,7,)=0,0,((VLOOKUP($D175,$C$5:$AJ$646,7,)/VLOOKUP($D175,$C$5:$AJ$646,4,))*$F175))</f>
        <v>0</v>
      </c>
      <c r="J175" s="98">
        <f>IF(VLOOKUP($D175,$C$5:$AJ$646,8,)=0,0,((VLOOKUP($D175,$C$5:$AJ$646,8,)/VLOOKUP($D175,$C$5:$AJ$646,4,))*$F175))</f>
        <v>0</v>
      </c>
      <c r="K175" s="98">
        <f>IF(VLOOKUP($D175,$C$5:$AJ$646,9,)=0,0,((VLOOKUP($D175,$C$5:$AJ$646,9,)/VLOOKUP($D175,$C$5:$AJ$646,4,))*$F175))</f>
        <v>0</v>
      </c>
      <c r="L175" s="98">
        <f>IF(VLOOKUP($D175,$C$5:$AJ$646,10,)=0,0,((VLOOKUP($D175,$C$5:$AJ$646,10,)/VLOOKUP($D175,$C$5:$AJ$646,4,))*$F175))</f>
        <v>0</v>
      </c>
      <c r="M175" s="98">
        <f>IF(VLOOKUP($D175,$C$5:$AJ$646,11,)=0,0,((VLOOKUP($D175,$C$5:$AJ$646,11,)/VLOOKUP($D175,$C$5:$AJ$646,4,))*$F175))</f>
        <v>0</v>
      </c>
      <c r="N175" s="98"/>
      <c r="O175" s="98">
        <f>IF(VLOOKUP($D175,$C$5:$AJ$646,13,)=0,0,((VLOOKUP($D175,$C$5:$AJ$646,13,)/VLOOKUP($D175,$C$5:$AJ$646,4,))*$F175))</f>
        <v>0</v>
      </c>
      <c r="P175" s="98">
        <f>IF(VLOOKUP($D175,$C$5:$AJ$646,14,)=0,0,((VLOOKUP($D175,$C$5:$AJ$646,14,)/VLOOKUP($D175,$C$5:$AJ$646,4,))*$F175))</f>
        <v>0</v>
      </c>
      <c r="Q175" s="98">
        <f>IF(VLOOKUP($D175,$C$5:$AJ$646,15,)=0,0,((VLOOKUP($D175,$C$5:$AJ$646,15,)/VLOOKUP($D175,$C$5:$AJ$646,4,))*$F175))</f>
        <v>0</v>
      </c>
      <c r="R175" s="98"/>
      <c r="S175" s="98">
        <f>IF(VLOOKUP($D175,$C$5:$AJ$646,17,)=0,0,((VLOOKUP($D175,$C$5:$AJ$646,17,)/VLOOKUP($D175,$C$5:$AJ$646,4,))*$F175))</f>
        <v>0</v>
      </c>
      <c r="T175" s="98">
        <f>IF(VLOOKUP($D175,$C$5:$AJ$646,18,)=0,0,((VLOOKUP($D175,$C$5:$AJ$646,18,)/VLOOKUP($D175,$C$5:$AJ$646,4,))*$F175))</f>
        <v>0</v>
      </c>
      <c r="U175" s="98">
        <f>IF(VLOOKUP($D175,$C$5:$AJ$646,19,)=0,0,((VLOOKUP($D175,$C$5:$AJ$646,19,)/VLOOKUP($D175,$C$5:$AJ$646,4,))*$F175))</f>
        <v>0</v>
      </c>
      <c r="V175" s="98">
        <f>IF(VLOOKUP($D175,$C$5:$AJ$646,20,)=0,0,((VLOOKUP($D175,$C$5:$AJ$646,20,)/VLOOKUP($D175,$C$5:$AJ$646,4,))*$F175))</f>
        <v>0</v>
      </c>
      <c r="W175" s="98">
        <f>IF(VLOOKUP($D175,$C$5:$AJ$646,21,)=0,0,((VLOOKUP($D175,$C$5:$AJ$646,21,)/VLOOKUP($D175,$C$5:$AJ$646,4,))*$F175))</f>
        <v>0</v>
      </c>
      <c r="X175" s="98">
        <f>IF(VLOOKUP($D175,$C$5:$AJ$646,22,)=0,0,((VLOOKUP($D175,$C$5:$AJ$646,22,)/VLOOKUP($D175,$C$5:$AJ$646,4,))*$F175))</f>
        <v>0</v>
      </c>
      <c r="Y175" s="98">
        <f>IF(VLOOKUP($D175,$C$5:$AJ$646,23,)=0,0,((VLOOKUP($D175,$C$5:$AJ$646,23,)/VLOOKUP($D175,$C$5:$AJ$646,4,))*$F175))</f>
        <v>0</v>
      </c>
      <c r="Z175" s="98">
        <f>IF(VLOOKUP($D175,$C$5:$AJ$646,24,)=0,0,((VLOOKUP($D175,$C$5:$AJ$646,24,)/VLOOKUP($D175,$C$5:$AJ$646,4,))*$F175))</f>
        <v>0</v>
      </c>
      <c r="AA175" s="98">
        <f>IF(VLOOKUP($D175,$C$5:$AJ$646,25,)=0,0,((VLOOKUP($D175,$C$5:$AJ$646,25,)/VLOOKUP($D175,$C$5:$AJ$646,4,))*$F175))</f>
        <v>0</v>
      </c>
      <c r="AB175" s="98">
        <f>IF(VLOOKUP($D175,$C$5:$AJ$646,26,)=0,0,((VLOOKUP($D175,$C$5:$AJ$646,26,)/VLOOKUP($D175,$C$5:$AJ$646,4,))*$F175))</f>
        <v>0</v>
      </c>
      <c r="AC175" s="98">
        <f>IF(VLOOKUP($D175,$C$5:$AJ$646,27,)=0,0,((VLOOKUP($D175,$C$5:$AJ$646,27,)/VLOOKUP($D175,$C$5:$AJ$646,4,))*$F175))</f>
        <v>0</v>
      </c>
      <c r="AD175" s="98">
        <f>IF(VLOOKUP($D175,$C$5:$AJ$646,28,)=0,0,((VLOOKUP($D175,$C$5:$AJ$646,28,)/VLOOKUP($D175,$C$5:$AJ$646,4,))*$F175))</f>
        <v>0</v>
      </c>
      <c r="AE175" s="98"/>
      <c r="AF175" s="98">
        <f>IF(VLOOKUP($D175,$C$5:$AJ$646,30,)=0,0,((VLOOKUP($D175,$C$5:$AJ$646,30,)/VLOOKUP($D175,$C$5:$AJ$646,4,))*$F175))</f>
        <v>0</v>
      </c>
      <c r="AG175" s="98"/>
      <c r="AH175" s="98">
        <f>IF(VLOOKUP($D175,$C$5:$AJ$646,32,)=0,0,((VLOOKUP($D175,$C$5:$AJ$646,32,)/VLOOKUP($D175,$C$5:$AJ$646,4,))*$F175))</f>
        <v>0</v>
      </c>
      <c r="AI175" s="98"/>
      <c r="AJ175" s="98">
        <f>IF(VLOOKUP($D175,$C$5:$AJ$646,34,)=0,0,((VLOOKUP($D175,$C$5:$AJ$646,34,)/VLOOKUP($D175,$C$5:$AJ$646,4,))*$F175))</f>
        <v>0</v>
      </c>
      <c r="AK175" s="98">
        <f t="shared" si="119"/>
        <v>0</v>
      </c>
      <c r="AL175" s="95" t="str">
        <f t="shared" si="120"/>
        <v>ok</v>
      </c>
    </row>
    <row r="176" spans="1:38" x14ac:dyDescent="0.25">
      <c r="F176" s="97"/>
      <c r="Y176" s="94"/>
      <c r="AK176" s="98"/>
      <c r="AL176" s="95"/>
    </row>
    <row r="177" spans="1:38" x14ac:dyDescent="0.25">
      <c r="B177" s="94" t="s">
        <v>2036</v>
      </c>
      <c r="F177" s="97">
        <f>SUM(F170:F176)</f>
        <v>45413.7098287021</v>
      </c>
      <c r="H177" s="97">
        <f t="shared" ref="H177:M177" si="121">SUM(H170:H176)</f>
        <v>15601.720028480991</v>
      </c>
      <c r="I177" s="97">
        <f t="shared" si="121"/>
        <v>14707.394311401951</v>
      </c>
      <c r="J177" s="97">
        <f t="shared" si="121"/>
        <v>15104.595488819157</v>
      </c>
      <c r="K177" s="97">
        <f t="shared" si="121"/>
        <v>0</v>
      </c>
      <c r="L177" s="97">
        <f t="shared" si="121"/>
        <v>0</v>
      </c>
      <c r="M177" s="97">
        <f t="shared" si="121"/>
        <v>0</v>
      </c>
      <c r="O177" s="97">
        <f>SUM(O170:O176)</f>
        <v>0</v>
      </c>
      <c r="P177" s="97">
        <f>SUM(P170:P176)</f>
        <v>0</v>
      </c>
      <c r="Q177" s="97">
        <f>SUM(Q170:Q176)</f>
        <v>0</v>
      </c>
      <c r="S177" s="97">
        <f t="shared" ref="S177:AD177" si="122">SUM(S170:S176)</f>
        <v>0</v>
      </c>
      <c r="T177" s="97">
        <f t="shared" si="122"/>
        <v>0</v>
      </c>
      <c r="U177" s="97">
        <f t="shared" si="122"/>
        <v>0</v>
      </c>
      <c r="V177" s="97">
        <f t="shared" si="122"/>
        <v>0</v>
      </c>
      <c r="W177" s="97">
        <f t="shared" si="122"/>
        <v>0</v>
      </c>
      <c r="X177" s="97">
        <f t="shared" si="122"/>
        <v>0</v>
      </c>
      <c r="Y177" s="97">
        <f t="shared" si="122"/>
        <v>0</v>
      </c>
      <c r="Z177" s="97">
        <f t="shared" si="122"/>
        <v>0</v>
      </c>
      <c r="AA177" s="97">
        <f t="shared" si="122"/>
        <v>0</v>
      </c>
      <c r="AB177" s="97">
        <f t="shared" si="122"/>
        <v>0</v>
      </c>
      <c r="AC177" s="97">
        <f t="shared" si="122"/>
        <v>0</v>
      </c>
      <c r="AD177" s="97">
        <f t="shared" si="122"/>
        <v>0</v>
      </c>
      <c r="AF177" s="97">
        <f>SUM(AF170:AF176)</f>
        <v>0</v>
      </c>
      <c r="AH177" s="97">
        <f>SUM(AH170:AH176)</f>
        <v>0</v>
      </c>
      <c r="AJ177" s="97">
        <f>SUM(AJ170:AJ176)</f>
        <v>0</v>
      </c>
      <c r="AK177" s="98">
        <f>SUM(H177:AJ177)</f>
        <v>45413.7098287021</v>
      </c>
      <c r="AL177" s="95" t="str">
        <f>IF(ABS(AK177-F177)&lt;1,"ok","err")</f>
        <v>ok</v>
      </c>
    </row>
    <row r="178" spans="1:38" x14ac:dyDescent="0.25">
      <c r="F178" s="97"/>
      <c r="Y178" s="94"/>
      <c r="AL178" s="95"/>
    </row>
    <row r="179" spans="1:38" x14ac:dyDescent="0.25">
      <c r="A179" s="16" t="s">
        <v>2034</v>
      </c>
      <c r="F179" s="97"/>
      <c r="Y179" s="94"/>
      <c r="AL179" s="95"/>
    </row>
    <row r="180" spans="1:38" x14ac:dyDescent="0.25">
      <c r="A180" s="109">
        <v>541</v>
      </c>
      <c r="B180" s="94" t="s">
        <v>726</v>
      </c>
      <c r="C180" s="94" t="s">
        <v>2071</v>
      </c>
      <c r="D180" s="94" t="s">
        <v>887</v>
      </c>
      <c r="F180" s="97">
        <f>'Jurisdictional Study'!F963</f>
        <v>102609.02098576893</v>
      </c>
      <c r="H180" s="98">
        <f>IF(VLOOKUP($D180,$C$5:$AJ$646,6,)=0,0,((VLOOKUP($D180,$C$5:$AJ$646,6,)/VLOOKUP($D180,$C$5:$AJ$646,4,))*$F180))</f>
        <v>9979.4229217388547</v>
      </c>
      <c r="I180" s="98">
        <f>IF(VLOOKUP($D180,$C$5:$AJ$646,7,)=0,0,((VLOOKUP($D180,$C$5:$AJ$646,7,)/VLOOKUP($D180,$C$5:$AJ$646,4,))*$F180))</f>
        <v>9407.3799326179942</v>
      </c>
      <c r="J180" s="98">
        <f>IF(VLOOKUP($D180,$C$5:$AJ$646,8,)=0,0,((VLOOKUP($D180,$C$5:$AJ$646,8,)/VLOOKUP($D180,$C$5:$AJ$646,4,))*$F180))</f>
        <v>9661.4441336947275</v>
      </c>
      <c r="K180" s="98">
        <f>IF(VLOOKUP($D180,$C$5:$AJ$646,9,)=0,0,((VLOOKUP($D180,$C$5:$AJ$646,9,)/VLOOKUP($D180,$C$5:$AJ$646,4,))*$F180))</f>
        <v>73560.773997717362</v>
      </c>
      <c r="L180" s="98">
        <f>IF(VLOOKUP($D180,$C$5:$AJ$646,10,)=0,0,((VLOOKUP($D180,$C$5:$AJ$646,10,)/VLOOKUP($D180,$C$5:$AJ$646,4,))*$F180))</f>
        <v>0</v>
      </c>
      <c r="M180" s="98">
        <f>IF(VLOOKUP($D180,$C$5:$AJ$646,11,)=0,0,((VLOOKUP($D180,$C$5:$AJ$646,11,)/VLOOKUP($D180,$C$5:$AJ$646,4,))*$F180))</f>
        <v>0</v>
      </c>
      <c r="N180" s="98"/>
      <c r="O180" s="98">
        <f>IF(VLOOKUP($D180,$C$5:$AJ$646,13,)=0,0,((VLOOKUP($D180,$C$5:$AJ$646,13,)/VLOOKUP($D180,$C$5:$AJ$646,4,))*$F180))</f>
        <v>0</v>
      </c>
      <c r="P180" s="98">
        <f>IF(VLOOKUP($D180,$C$5:$AJ$646,14,)=0,0,((VLOOKUP($D180,$C$5:$AJ$646,14,)/VLOOKUP($D180,$C$5:$AJ$646,4,))*$F180))</f>
        <v>0</v>
      </c>
      <c r="Q180" s="98">
        <f>IF(VLOOKUP($D180,$C$5:$AJ$646,15,)=0,0,((VLOOKUP($D180,$C$5:$AJ$646,15,)/VLOOKUP($D180,$C$5:$AJ$646,4,))*$F180))</f>
        <v>0</v>
      </c>
      <c r="R180" s="98"/>
      <c r="S180" s="98">
        <f>IF(VLOOKUP($D180,$C$5:$AJ$646,17,)=0,0,((VLOOKUP($D180,$C$5:$AJ$646,17,)/VLOOKUP($D180,$C$5:$AJ$646,4,))*$F180))</f>
        <v>0</v>
      </c>
      <c r="T180" s="98">
        <f>IF(VLOOKUP($D180,$C$5:$AJ$646,18,)=0,0,((VLOOKUP($D180,$C$5:$AJ$646,18,)/VLOOKUP($D180,$C$5:$AJ$646,4,))*$F180))</f>
        <v>0</v>
      </c>
      <c r="U180" s="98">
        <f>IF(VLOOKUP($D180,$C$5:$AJ$646,19,)=0,0,((VLOOKUP($D180,$C$5:$AJ$646,19,)/VLOOKUP($D180,$C$5:$AJ$646,4,))*$F180))</f>
        <v>0</v>
      </c>
      <c r="V180" s="98">
        <f>IF(VLOOKUP($D180,$C$5:$AJ$646,20,)=0,0,((VLOOKUP($D180,$C$5:$AJ$646,20,)/VLOOKUP($D180,$C$5:$AJ$646,4,))*$F180))</f>
        <v>0</v>
      </c>
      <c r="W180" s="98">
        <f>IF(VLOOKUP($D180,$C$5:$AJ$646,21,)=0,0,((VLOOKUP($D180,$C$5:$AJ$646,21,)/VLOOKUP($D180,$C$5:$AJ$646,4,))*$F180))</f>
        <v>0</v>
      </c>
      <c r="X180" s="98">
        <f>IF(VLOOKUP($D180,$C$5:$AJ$646,22,)=0,0,((VLOOKUP($D180,$C$5:$AJ$646,22,)/VLOOKUP($D180,$C$5:$AJ$646,4,))*$F180))</f>
        <v>0</v>
      </c>
      <c r="Y180" s="98">
        <f>IF(VLOOKUP($D180,$C$5:$AJ$646,23,)=0,0,((VLOOKUP($D180,$C$5:$AJ$646,23,)/VLOOKUP($D180,$C$5:$AJ$646,4,))*$F180))</f>
        <v>0</v>
      </c>
      <c r="Z180" s="98">
        <f>IF(VLOOKUP($D180,$C$5:$AJ$646,24,)=0,0,((VLOOKUP($D180,$C$5:$AJ$646,24,)/VLOOKUP($D180,$C$5:$AJ$646,4,))*$F180))</f>
        <v>0</v>
      </c>
      <c r="AA180" s="98">
        <f>IF(VLOOKUP($D180,$C$5:$AJ$646,25,)=0,0,((VLOOKUP($D180,$C$5:$AJ$646,25,)/VLOOKUP($D180,$C$5:$AJ$646,4,))*$F180))</f>
        <v>0</v>
      </c>
      <c r="AB180" s="98">
        <f>IF(VLOOKUP($D180,$C$5:$AJ$646,26,)=0,0,((VLOOKUP($D180,$C$5:$AJ$646,26,)/VLOOKUP($D180,$C$5:$AJ$646,4,))*$F180))</f>
        <v>0</v>
      </c>
      <c r="AC180" s="98">
        <f>IF(VLOOKUP($D180,$C$5:$AJ$646,27,)=0,0,((VLOOKUP($D180,$C$5:$AJ$646,27,)/VLOOKUP($D180,$C$5:$AJ$646,4,))*$F180))</f>
        <v>0</v>
      </c>
      <c r="AD180" s="98">
        <f>IF(VLOOKUP($D180,$C$5:$AJ$646,28,)=0,0,((VLOOKUP($D180,$C$5:$AJ$646,28,)/VLOOKUP($D180,$C$5:$AJ$646,4,))*$F180))</f>
        <v>0</v>
      </c>
      <c r="AE180" s="98"/>
      <c r="AF180" s="98">
        <f>IF(VLOOKUP($D180,$C$5:$AJ$646,30,)=0,0,((VLOOKUP($D180,$C$5:$AJ$646,30,)/VLOOKUP($D180,$C$5:$AJ$646,4,))*$F180))</f>
        <v>0</v>
      </c>
      <c r="AG180" s="98"/>
      <c r="AH180" s="98">
        <f>IF(VLOOKUP($D180,$C$5:$AJ$646,32,)=0,0,((VLOOKUP($D180,$C$5:$AJ$646,32,)/VLOOKUP($D180,$C$5:$AJ$646,4,))*$F180))</f>
        <v>0</v>
      </c>
      <c r="AI180" s="98"/>
      <c r="AJ180" s="98">
        <f>IF(VLOOKUP($D180,$C$5:$AJ$646,34,)=0,0,((VLOOKUP($D180,$C$5:$AJ$646,34,)/VLOOKUP($D180,$C$5:$AJ$646,4,))*$F180))</f>
        <v>0</v>
      </c>
      <c r="AK180" s="98">
        <f>SUM(H180:AJ180)</f>
        <v>102609.02098576893</v>
      </c>
      <c r="AL180" s="95" t="str">
        <f>IF(ABS(AK180-F180)&lt;1,"ok","err")</f>
        <v>ok</v>
      </c>
    </row>
    <row r="181" spans="1:38" x14ac:dyDescent="0.25">
      <c r="A181" s="109">
        <v>542</v>
      </c>
      <c r="B181" s="94" t="s">
        <v>725</v>
      </c>
      <c r="C181" s="94" t="s">
        <v>2072</v>
      </c>
      <c r="D181" s="94" t="s">
        <v>885</v>
      </c>
      <c r="F181" s="98">
        <f>'Jurisdictional Study'!F964</f>
        <v>146077.73004404496</v>
      </c>
      <c r="H181" s="98">
        <f>IF(VLOOKUP($D181,$C$5:$AJ$646,6,)=0,0,((VLOOKUP($D181,$C$5:$AJ$646,6,)/VLOOKUP($D181,$C$5:$AJ$646,4,))*$F181))</f>
        <v>50184.489554799933</v>
      </c>
      <c r="I181" s="98">
        <f>IF(VLOOKUP($D181,$C$5:$AJ$646,7,)=0,0,((VLOOKUP($D181,$C$5:$AJ$646,7,)/VLOOKUP($D181,$C$5:$AJ$646,4,))*$F181))</f>
        <v>47307.801630301161</v>
      </c>
      <c r="J181" s="98">
        <f>IF(VLOOKUP($D181,$C$5:$AJ$646,8,)=0,0,((VLOOKUP($D181,$C$5:$AJ$646,8,)/VLOOKUP($D181,$C$5:$AJ$646,4,))*$F181))</f>
        <v>48585.438858943868</v>
      </c>
      <c r="K181" s="98">
        <f>IF(VLOOKUP($D181,$C$5:$AJ$646,9,)=0,0,((VLOOKUP($D181,$C$5:$AJ$646,9,)/VLOOKUP($D181,$C$5:$AJ$646,4,))*$F181))</f>
        <v>0</v>
      </c>
      <c r="L181" s="98">
        <f>IF(VLOOKUP($D181,$C$5:$AJ$646,10,)=0,0,((VLOOKUP($D181,$C$5:$AJ$646,10,)/VLOOKUP($D181,$C$5:$AJ$646,4,))*$F181))</f>
        <v>0</v>
      </c>
      <c r="M181" s="98">
        <f>IF(VLOOKUP($D181,$C$5:$AJ$646,11,)=0,0,((VLOOKUP($D181,$C$5:$AJ$646,11,)/VLOOKUP($D181,$C$5:$AJ$646,4,))*$F181))</f>
        <v>0</v>
      </c>
      <c r="N181" s="98"/>
      <c r="O181" s="98">
        <f>IF(VLOOKUP($D181,$C$5:$AJ$646,13,)=0,0,((VLOOKUP($D181,$C$5:$AJ$646,13,)/VLOOKUP($D181,$C$5:$AJ$646,4,))*$F181))</f>
        <v>0</v>
      </c>
      <c r="P181" s="98">
        <f>IF(VLOOKUP($D181,$C$5:$AJ$646,14,)=0,0,((VLOOKUP($D181,$C$5:$AJ$646,14,)/VLOOKUP($D181,$C$5:$AJ$646,4,))*$F181))</f>
        <v>0</v>
      </c>
      <c r="Q181" s="98">
        <f>IF(VLOOKUP($D181,$C$5:$AJ$646,15,)=0,0,((VLOOKUP($D181,$C$5:$AJ$646,15,)/VLOOKUP($D181,$C$5:$AJ$646,4,))*$F181))</f>
        <v>0</v>
      </c>
      <c r="R181" s="98"/>
      <c r="S181" s="98">
        <f>IF(VLOOKUP($D181,$C$5:$AJ$646,17,)=0,0,((VLOOKUP($D181,$C$5:$AJ$646,17,)/VLOOKUP($D181,$C$5:$AJ$646,4,))*$F181))</f>
        <v>0</v>
      </c>
      <c r="T181" s="98">
        <f>IF(VLOOKUP($D181,$C$5:$AJ$646,18,)=0,0,((VLOOKUP($D181,$C$5:$AJ$646,18,)/VLOOKUP($D181,$C$5:$AJ$646,4,))*$F181))</f>
        <v>0</v>
      </c>
      <c r="U181" s="98">
        <f>IF(VLOOKUP($D181,$C$5:$AJ$646,19,)=0,0,((VLOOKUP($D181,$C$5:$AJ$646,19,)/VLOOKUP($D181,$C$5:$AJ$646,4,))*$F181))</f>
        <v>0</v>
      </c>
      <c r="V181" s="98">
        <f>IF(VLOOKUP($D181,$C$5:$AJ$646,20,)=0,0,((VLOOKUP($D181,$C$5:$AJ$646,20,)/VLOOKUP($D181,$C$5:$AJ$646,4,))*$F181))</f>
        <v>0</v>
      </c>
      <c r="W181" s="98">
        <f>IF(VLOOKUP($D181,$C$5:$AJ$646,21,)=0,0,((VLOOKUP($D181,$C$5:$AJ$646,21,)/VLOOKUP($D181,$C$5:$AJ$646,4,))*$F181))</f>
        <v>0</v>
      </c>
      <c r="X181" s="98">
        <f>IF(VLOOKUP($D181,$C$5:$AJ$646,22,)=0,0,((VLOOKUP($D181,$C$5:$AJ$646,22,)/VLOOKUP($D181,$C$5:$AJ$646,4,))*$F181))</f>
        <v>0</v>
      </c>
      <c r="Y181" s="98">
        <f>IF(VLOOKUP($D181,$C$5:$AJ$646,23,)=0,0,((VLOOKUP($D181,$C$5:$AJ$646,23,)/VLOOKUP($D181,$C$5:$AJ$646,4,))*$F181))</f>
        <v>0</v>
      </c>
      <c r="Z181" s="98">
        <f>IF(VLOOKUP($D181,$C$5:$AJ$646,24,)=0,0,((VLOOKUP($D181,$C$5:$AJ$646,24,)/VLOOKUP($D181,$C$5:$AJ$646,4,))*$F181))</f>
        <v>0</v>
      </c>
      <c r="AA181" s="98">
        <f>IF(VLOOKUP($D181,$C$5:$AJ$646,25,)=0,0,((VLOOKUP($D181,$C$5:$AJ$646,25,)/VLOOKUP($D181,$C$5:$AJ$646,4,))*$F181))</f>
        <v>0</v>
      </c>
      <c r="AB181" s="98">
        <f>IF(VLOOKUP($D181,$C$5:$AJ$646,26,)=0,0,((VLOOKUP($D181,$C$5:$AJ$646,26,)/VLOOKUP($D181,$C$5:$AJ$646,4,))*$F181))</f>
        <v>0</v>
      </c>
      <c r="AC181" s="98">
        <f>IF(VLOOKUP($D181,$C$5:$AJ$646,27,)=0,0,((VLOOKUP($D181,$C$5:$AJ$646,27,)/VLOOKUP($D181,$C$5:$AJ$646,4,))*$F181))</f>
        <v>0</v>
      </c>
      <c r="AD181" s="98">
        <f>IF(VLOOKUP($D181,$C$5:$AJ$646,28,)=0,0,((VLOOKUP($D181,$C$5:$AJ$646,28,)/VLOOKUP($D181,$C$5:$AJ$646,4,))*$F181))</f>
        <v>0</v>
      </c>
      <c r="AE181" s="98"/>
      <c r="AF181" s="98">
        <f>IF(VLOOKUP($D181,$C$5:$AJ$646,30,)=0,0,((VLOOKUP($D181,$C$5:$AJ$646,30,)/VLOOKUP($D181,$C$5:$AJ$646,4,))*$F181))</f>
        <v>0</v>
      </c>
      <c r="AG181" s="98"/>
      <c r="AH181" s="98">
        <f>IF(VLOOKUP($D181,$C$5:$AJ$646,32,)=0,0,((VLOOKUP($D181,$C$5:$AJ$646,32,)/VLOOKUP($D181,$C$5:$AJ$646,4,))*$F181))</f>
        <v>0</v>
      </c>
      <c r="AI181" s="98"/>
      <c r="AJ181" s="98">
        <f>IF(VLOOKUP($D181,$C$5:$AJ$646,34,)=0,0,((VLOOKUP($D181,$C$5:$AJ$646,34,)/VLOOKUP($D181,$C$5:$AJ$646,4,))*$F181))</f>
        <v>0</v>
      </c>
      <c r="AK181" s="98">
        <f>SUM(H181:AJ181)</f>
        <v>146077.73004404496</v>
      </c>
      <c r="AL181" s="95" t="str">
        <f>IF(ABS(AK181-F181)&lt;1,"ok","err")</f>
        <v>ok</v>
      </c>
    </row>
    <row r="182" spans="1:38" x14ac:dyDescent="0.25">
      <c r="A182" s="109">
        <v>543</v>
      </c>
      <c r="B182" s="94" t="s">
        <v>2035</v>
      </c>
      <c r="C182" s="94" t="s">
        <v>2073</v>
      </c>
      <c r="D182" s="94" t="s">
        <v>885</v>
      </c>
      <c r="F182" s="98">
        <f>'Jurisdictional Study'!F965</f>
        <v>36620.23315751629</v>
      </c>
      <c r="H182" s="98">
        <f>IF(VLOOKUP($D182,$C$5:$AJ$646,6,)=0,0,((VLOOKUP($D182,$C$5:$AJ$646,6,)/VLOOKUP($D182,$C$5:$AJ$646,4,))*$F182))</f>
        <v>12580.752095706825</v>
      </c>
      <c r="I182" s="98">
        <f>IF(VLOOKUP($D182,$C$5:$AJ$646,7,)=0,0,((VLOOKUP($D182,$C$5:$AJ$646,7,)/VLOOKUP($D182,$C$5:$AJ$646,4,))*$F182))</f>
        <v>11859.595061812655</v>
      </c>
      <c r="J182" s="98">
        <f>IF(VLOOKUP($D182,$C$5:$AJ$646,8,)=0,0,((VLOOKUP($D182,$C$5:$AJ$646,8,)/VLOOKUP($D182,$C$5:$AJ$646,4,))*$F182))</f>
        <v>12179.88599999681</v>
      </c>
      <c r="K182" s="98">
        <f>IF(VLOOKUP($D182,$C$5:$AJ$646,9,)=0,0,((VLOOKUP($D182,$C$5:$AJ$646,9,)/VLOOKUP($D182,$C$5:$AJ$646,4,))*$F182))</f>
        <v>0</v>
      </c>
      <c r="L182" s="98">
        <f>IF(VLOOKUP($D182,$C$5:$AJ$646,10,)=0,0,((VLOOKUP($D182,$C$5:$AJ$646,10,)/VLOOKUP($D182,$C$5:$AJ$646,4,))*$F182))</f>
        <v>0</v>
      </c>
      <c r="M182" s="98">
        <f>IF(VLOOKUP($D182,$C$5:$AJ$646,11,)=0,0,((VLOOKUP($D182,$C$5:$AJ$646,11,)/VLOOKUP($D182,$C$5:$AJ$646,4,))*$F182))</f>
        <v>0</v>
      </c>
      <c r="N182" s="98"/>
      <c r="O182" s="98">
        <f>IF(VLOOKUP($D182,$C$5:$AJ$646,13,)=0,0,((VLOOKUP($D182,$C$5:$AJ$646,13,)/VLOOKUP($D182,$C$5:$AJ$646,4,))*$F182))</f>
        <v>0</v>
      </c>
      <c r="P182" s="98">
        <f>IF(VLOOKUP($D182,$C$5:$AJ$646,14,)=0,0,((VLOOKUP($D182,$C$5:$AJ$646,14,)/VLOOKUP($D182,$C$5:$AJ$646,4,))*$F182))</f>
        <v>0</v>
      </c>
      <c r="Q182" s="98">
        <f>IF(VLOOKUP($D182,$C$5:$AJ$646,15,)=0,0,((VLOOKUP($D182,$C$5:$AJ$646,15,)/VLOOKUP($D182,$C$5:$AJ$646,4,))*$F182))</f>
        <v>0</v>
      </c>
      <c r="R182" s="98"/>
      <c r="S182" s="98">
        <f>IF(VLOOKUP($D182,$C$5:$AJ$646,17,)=0,0,((VLOOKUP($D182,$C$5:$AJ$646,17,)/VLOOKUP($D182,$C$5:$AJ$646,4,))*$F182))</f>
        <v>0</v>
      </c>
      <c r="T182" s="98">
        <f>IF(VLOOKUP($D182,$C$5:$AJ$646,18,)=0,0,((VLOOKUP($D182,$C$5:$AJ$646,18,)/VLOOKUP($D182,$C$5:$AJ$646,4,))*$F182))</f>
        <v>0</v>
      </c>
      <c r="U182" s="98">
        <f>IF(VLOOKUP($D182,$C$5:$AJ$646,19,)=0,0,((VLOOKUP($D182,$C$5:$AJ$646,19,)/VLOOKUP($D182,$C$5:$AJ$646,4,))*$F182))</f>
        <v>0</v>
      </c>
      <c r="V182" s="98">
        <f>IF(VLOOKUP($D182,$C$5:$AJ$646,20,)=0,0,((VLOOKUP($D182,$C$5:$AJ$646,20,)/VLOOKUP($D182,$C$5:$AJ$646,4,))*$F182))</f>
        <v>0</v>
      </c>
      <c r="W182" s="98">
        <f>IF(VLOOKUP($D182,$C$5:$AJ$646,21,)=0,0,((VLOOKUP($D182,$C$5:$AJ$646,21,)/VLOOKUP($D182,$C$5:$AJ$646,4,))*$F182))</f>
        <v>0</v>
      </c>
      <c r="X182" s="98">
        <f>IF(VLOOKUP($D182,$C$5:$AJ$646,22,)=0,0,((VLOOKUP($D182,$C$5:$AJ$646,22,)/VLOOKUP($D182,$C$5:$AJ$646,4,))*$F182))</f>
        <v>0</v>
      </c>
      <c r="Y182" s="98">
        <f>IF(VLOOKUP($D182,$C$5:$AJ$646,23,)=0,0,((VLOOKUP($D182,$C$5:$AJ$646,23,)/VLOOKUP($D182,$C$5:$AJ$646,4,))*$F182))</f>
        <v>0</v>
      </c>
      <c r="Z182" s="98">
        <f>IF(VLOOKUP($D182,$C$5:$AJ$646,24,)=0,0,((VLOOKUP($D182,$C$5:$AJ$646,24,)/VLOOKUP($D182,$C$5:$AJ$646,4,))*$F182))</f>
        <v>0</v>
      </c>
      <c r="AA182" s="98">
        <f>IF(VLOOKUP($D182,$C$5:$AJ$646,25,)=0,0,((VLOOKUP($D182,$C$5:$AJ$646,25,)/VLOOKUP($D182,$C$5:$AJ$646,4,))*$F182))</f>
        <v>0</v>
      </c>
      <c r="AB182" s="98">
        <f>IF(VLOOKUP($D182,$C$5:$AJ$646,26,)=0,0,((VLOOKUP($D182,$C$5:$AJ$646,26,)/VLOOKUP($D182,$C$5:$AJ$646,4,))*$F182))</f>
        <v>0</v>
      </c>
      <c r="AC182" s="98">
        <f>IF(VLOOKUP($D182,$C$5:$AJ$646,27,)=0,0,((VLOOKUP($D182,$C$5:$AJ$646,27,)/VLOOKUP($D182,$C$5:$AJ$646,4,))*$F182))</f>
        <v>0</v>
      </c>
      <c r="AD182" s="98">
        <f>IF(VLOOKUP($D182,$C$5:$AJ$646,28,)=0,0,((VLOOKUP($D182,$C$5:$AJ$646,28,)/VLOOKUP($D182,$C$5:$AJ$646,4,))*$F182))</f>
        <v>0</v>
      </c>
      <c r="AE182" s="98"/>
      <c r="AF182" s="98">
        <f>IF(VLOOKUP($D182,$C$5:$AJ$646,30,)=0,0,((VLOOKUP($D182,$C$5:$AJ$646,30,)/VLOOKUP($D182,$C$5:$AJ$646,4,))*$F182))</f>
        <v>0</v>
      </c>
      <c r="AG182" s="98"/>
      <c r="AH182" s="98">
        <f>IF(VLOOKUP($D182,$C$5:$AJ$646,32,)=0,0,((VLOOKUP($D182,$C$5:$AJ$646,32,)/VLOOKUP($D182,$C$5:$AJ$646,4,))*$F182))</f>
        <v>0</v>
      </c>
      <c r="AI182" s="98"/>
      <c r="AJ182" s="98">
        <f>IF(VLOOKUP($D182,$C$5:$AJ$646,34,)=0,0,((VLOOKUP($D182,$C$5:$AJ$646,34,)/VLOOKUP($D182,$C$5:$AJ$646,4,))*$F182))</f>
        <v>0</v>
      </c>
      <c r="AK182" s="98">
        <f>SUM(H182:AJ182)</f>
        <v>36620.23315751629</v>
      </c>
      <c r="AL182" s="95" t="str">
        <f>IF(ABS(AK182-F182)&lt;1,"ok","err")</f>
        <v>ok</v>
      </c>
    </row>
    <row r="183" spans="1:38" x14ac:dyDescent="0.25">
      <c r="A183" s="94">
        <v>544</v>
      </c>
      <c r="B183" s="94" t="s">
        <v>1937</v>
      </c>
      <c r="C183" s="94" t="s">
        <v>2074</v>
      </c>
      <c r="D183" s="94" t="s">
        <v>124</v>
      </c>
      <c r="F183" s="98">
        <f>'Jurisdictional Study'!F966</f>
        <v>79975.030348336368</v>
      </c>
      <c r="H183" s="98">
        <f>IF(VLOOKUP($D183,$C$5:$AJ$646,6,)=0,0,((VLOOKUP($D183,$C$5:$AJ$646,6,)/VLOOKUP($D183,$C$5:$AJ$646,4,))*$F183))</f>
        <v>0</v>
      </c>
      <c r="I183" s="98">
        <f>IF(VLOOKUP($D183,$C$5:$AJ$646,7,)=0,0,((VLOOKUP($D183,$C$5:$AJ$646,7,)/VLOOKUP($D183,$C$5:$AJ$646,4,))*$F183))</f>
        <v>0</v>
      </c>
      <c r="J183" s="98">
        <f>IF(VLOOKUP($D183,$C$5:$AJ$646,8,)=0,0,((VLOOKUP($D183,$C$5:$AJ$646,8,)/VLOOKUP($D183,$C$5:$AJ$646,4,))*$F183))</f>
        <v>0</v>
      </c>
      <c r="K183" s="98">
        <f>IF(VLOOKUP($D183,$C$5:$AJ$646,9,)=0,0,((VLOOKUP($D183,$C$5:$AJ$646,9,)/VLOOKUP($D183,$C$5:$AJ$646,4,))*$F183))</f>
        <v>79975.030348336368</v>
      </c>
      <c r="L183" s="98">
        <f>IF(VLOOKUP($D183,$C$5:$AJ$646,10,)=0,0,((VLOOKUP($D183,$C$5:$AJ$646,10,)/VLOOKUP($D183,$C$5:$AJ$646,4,))*$F183))</f>
        <v>0</v>
      </c>
      <c r="M183" s="98">
        <f>IF(VLOOKUP($D183,$C$5:$AJ$646,11,)=0,0,((VLOOKUP($D183,$C$5:$AJ$646,11,)/VLOOKUP($D183,$C$5:$AJ$646,4,))*$F183))</f>
        <v>0</v>
      </c>
      <c r="N183" s="98"/>
      <c r="O183" s="98">
        <f>IF(VLOOKUP($D183,$C$5:$AJ$646,13,)=0,0,((VLOOKUP($D183,$C$5:$AJ$646,13,)/VLOOKUP($D183,$C$5:$AJ$646,4,))*$F183))</f>
        <v>0</v>
      </c>
      <c r="P183" s="98">
        <f>IF(VLOOKUP($D183,$C$5:$AJ$646,14,)=0,0,((VLOOKUP($D183,$C$5:$AJ$646,14,)/VLOOKUP($D183,$C$5:$AJ$646,4,))*$F183))</f>
        <v>0</v>
      </c>
      <c r="Q183" s="98">
        <f>IF(VLOOKUP($D183,$C$5:$AJ$646,15,)=0,0,((VLOOKUP($D183,$C$5:$AJ$646,15,)/VLOOKUP($D183,$C$5:$AJ$646,4,))*$F183))</f>
        <v>0</v>
      </c>
      <c r="R183" s="98"/>
      <c r="S183" s="98">
        <f>IF(VLOOKUP($D183,$C$5:$AJ$646,17,)=0,0,((VLOOKUP($D183,$C$5:$AJ$646,17,)/VLOOKUP($D183,$C$5:$AJ$646,4,))*$F183))</f>
        <v>0</v>
      </c>
      <c r="T183" s="98">
        <f>IF(VLOOKUP($D183,$C$5:$AJ$646,18,)=0,0,((VLOOKUP($D183,$C$5:$AJ$646,18,)/VLOOKUP($D183,$C$5:$AJ$646,4,))*$F183))</f>
        <v>0</v>
      </c>
      <c r="U183" s="98">
        <f>IF(VLOOKUP($D183,$C$5:$AJ$646,19,)=0,0,((VLOOKUP($D183,$C$5:$AJ$646,19,)/VLOOKUP($D183,$C$5:$AJ$646,4,))*$F183))</f>
        <v>0</v>
      </c>
      <c r="V183" s="98">
        <f>IF(VLOOKUP($D183,$C$5:$AJ$646,20,)=0,0,((VLOOKUP($D183,$C$5:$AJ$646,20,)/VLOOKUP($D183,$C$5:$AJ$646,4,))*$F183))</f>
        <v>0</v>
      </c>
      <c r="W183" s="98">
        <f>IF(VLOOKUP($D183,$C$5:$AJ$646,21,)=0,0,((VLOOKUP($D183,$C$5:$AJ$646,21,)/VLOOKUP($D183,$C$5:$AJ$646,4,))*$F183))</f>
        <v>0</v>
      </c>
      <c r="X183" s="98">
        <f>IF(VLOOKUP($D183,$C$5:$AJ$646,22,)=0,0,((VLOOKUP($D183,$C$5:$AJ$646,22,)/VLOOKUP($D183,$C$5:$AJ$646,4,))*$F183))</f>
        <v>0</v>
      </c>
      <c r="Y183" s="98">
        <f>IF(VLOOKUP($D183,$C$5:$AJ$646,23,)=0,0,((VLOOKUP($D183,$C$5:$AJ$646,23,)/VLOOKUP($D183,$C$5:$AJ$646,4,))*$F183))</f>
        <v>0</v>
      </c>
      <c r="Z183" s="98">
        <f>IF(VLOOKUP($D183,$C$5:$AJ$646,24,)=0,0,((VLOOKUP($D183,$C$5:$AJ$646,24,)/VLOOKUP($D183,$C$5:$AJ$646,4,))*$F183))</f>
        <v>0</v>
      </c>
      <c r="AA183" s="98">
        <f>IF(VLOOKUP($D183,$C$5:$AJ$646,25,)=0,0,((VLOOKUP($D183,$C$5:$AJ$646,25,)/VLOOKUP($D183,$C$5:$AJ$646,4,))*$F183))</f>
        <v>0</v>
      </c>
      <c r="AB183" s="98">
        <f>IF(VLOOKUP($D183,$C$5:$AJ$646,26,)=0,0,((VLOOKUP($D183,$C$5:$AJ$646,26,)/VLOOKUP($D183,$C$5:$AJ$646,4,))*$F183))</f>
        <v>0</v>
      </c>
      <c r="AC183" s="98">
        <f>IF(VLOOKUP($D183,$C$5:$AJ$646,27,)=0,0,((VLOOKUP($D183,$C$5:$AJ$646,27,)/VLOOKUP($D183,$C$5:$AJ$646,4,))*$F183))</f>
        <v>0</v>
      </c>
      <c r="AD183" s="98">
        <f>IF(VLOOKUP($D183,$C$5:$AJ$646,28,)=0,0,((VLOOKUP($D183,$C$5:$AJ$646,28,)/VLOOKUP($D183,$C$5:$AJ$646,4,))*$F183))</f>
        <v>0</v>
      </c>
      <c r="AE183" s="98"/>
      <c r="AF183" s="98">
        <f>IF(VLOOKUP($D183,$C$5:$AJ$646,30,)=0,0,((VLOOKUP($D183,$C$5:$AJ$646,30,)/VLOOKUP($D183,$C$5:$AJ$646,4,))*$F183))</f>
        <v>0</v>
      </c>
      <c r="AG183" s="98"/>
      <c r="AH183" s="98">
        <f>IF(VLOOKUP($D183,$C$5:$AJ$646,32,)=0,0,((VLOOKUP($D183,$C$5:$AJ$646,32,)/VLOOKUP($D183,$C$5:$AJ$646,4,))*$F183))</f>
        <v>0</v>
      </c>
      <c r="AI183" s="98"/>
      <c r="AJ183" s="98">
        <f>IF(VLOOKUP($D183,$C$5:$AJ$646,34,)=0,0,((VLOOKUP($D183,$C$5:$AJ$646,34,)/VLOOKUP($D183,$C$5:$AJ$646,4,))*$F183))</f>
        <v>0</v>
      </c>
      <c r="AK183" s="98">
        <f>SUM(H183:AJ183)</f>
        <v>79975.030348336368</v>
      </c>
      <c r="AL183" s="95" t="str">
        <f>IF(ABS(AK183-F183)&lt;1,"ok","err")</f>
        <v>ok</v>
      </c>
    </row>
    <row r="184" spans="1:38" x14ac:dyDescent="0.25">
      <c r="A184" s="94">
        <v>545</v>
      </c>
      <c r="B184" s="94" t="s">
        <v>2065</v>
      </c>
      <c r="C184" s="94" t="s">
        <v>2075</v>
      </c>
      <c r="D184" s="94" t="s">
        <v>124</v>
      </c>
      <c r="F184" s="98">
        <f>'Jurisdictional Study'!F967</f>
        <v>6836.9629831185212</v>
      </c>
      <c r="H184" s="98">
        <f>IF(VLOOKUP($D184,$C$5:$AJ$646,6,)=0,0,((VLOOKUP($D184,$C$5:$AJ$646,6,)/VLOOKUP($D184,$C$5:$AJ$646,4,))*$F184))</f>
        <v>0</v>
      </c>
      <c r="I184" s="98">
        <f>IF(VLOOKUP($D184,$C$5:$AJ$646,7,)=0,0,((VLOOKUP($D184,$C$5:$AJ$646,7,)/VLOOKUP($D184,$C$5:$AJ$646,4,))*$F184))</f>
        <v>0</v>
      </c>
      <c r="J184" s="98">
        <f>IF(VLOOKUP($D184,$C$5:$AJ$646,8,)=0,0,((VLOOKUP($D184,$C$5:$AJ$646,8,)/VLOOKUP($D184,$C$5:$AJ$646,4,))*$F184))</f>
        <v>0</v>
      </c>
      <c r="K184" s="98">
        <f>IF(VLOOKUP($D184,$C$5:$AJ$646,9,)=0,0,((VLOOKUP($D184,$C$5:$AJ$646,9,)/VLOOKUP($D184,$C$5:$AJ$646,4,))*$F184))</f>
        <v>6836.9629831185212</v>
      </c>
      <c r="L184" s="98">
        <f>IF(VLOOKUP($D184,$C$5:$AJ$646,10,)=0,0,((VLOOKUP($D184,$C$5:$AJ$646,10,)/VLOOKUP($D184,$C$5:$AJ$646,4,))*$F184))</f>
        <v>0</v>
      </c>
      <c r="M184" s="98">
        <f>IF(VLOOKUP($D184,$C$5:$AJ$646,11,)=0,0,((VLOOKUP($D184,$C$5:$AJ$646,11,)/VLOOKUP($D184,$C$5:$AJ$646,4,))*$F184))</f>
        <v>0</v>
      </c>
      <c r="N184" s="98"/>
      <c r="O184" s="98">
        <f>IF(VLOOKUP($D184,$C$5:$AJ$646,13,)=0,0,((VLOOKUP($D184,$C$5:$AJ$646,13,)/VLOOKUP($D184,$C$5:$AJ$646,4,))*$F184))</f>
        <v>0</v>
      </c>
      <c r="P184" s="98">
        <f>IF(VLOOKUP($D184,$C$5:$AJ$646,14,)=0,0,((VLOOKUP($D184,$C$5:$AJ$646,14,)/VLOOKUP($D184,$C$5:$AJ$646,4,))*$F184))</f>
        <v>0</v>
      </c>
      <c r="Q184" s="98">
        <f>IF(VLOOKUP($D184,$C$5:$AJ$646,15,)=0,0,((VLOOKUP($D184,$C$5:$AJ$646,15,)/VLOOKUP($D184,$C$5:$AJ$646,4,))*$F184))</f>
        <v>0</v>
      </c>
      <c r="R184" s="98"/>
      <c r="S184" s="98">
        <f>IF(VLOOKUP($D184,$C$5:$AJ$646,17,)=0,0,((VLOOKUP($D184,$C$5:$AJ$646,17,)/VLOOKUP($D184,$C$5:$AJ$646,4,))*$F184))</f>
        <v>0</v>
      </c>
      <c r="T184" s="98">
        <f>IF(VLOOKUP($D184,$C$5:$AJ$646,18,)=0,0,((VLOOKUP($D184,$C$5:$AJ$646,18,)/VLOOKUP($D184,$C$5:$AJ$646,4,))*$F184))</f>
        <v>0</v>
      </c>
      <c r="U184" s="98">
        <f>IF(VLOOKUP($D184,$C$5:$AJ$646,19,)=0,0,((VLOOKUP($D184,$C$5:$AJ$646,19,)/VLOOKUP($D184,$C$5:$AJ$646,4,))*$F184))</f>
        <v>0</v>
      </c>
      <c r="V184" s="98">
        <f>IF(VLOOKUP($D184,$C$5:$AJ$646,20,)=0,0,((VLOOKUP($D184,$C$5:$AJ$646,20,)/VLOOKUP($D184,$C$5:$AJ$646,4,))*$F184))</f>
        <v>0</v>
      </c>
      <c r="W184" s="98">
        <f>IF(VLOOKUP($D184,$C$5:$AJ$646,21,)=0,0,((VLOOKUP($D184,$C$5:$AJ$646,21,)/VLOOKUP($D184,$C$5:$AJ$646,4,))*$F184))</f>
        <v>0</v>
      </c>
      <c r="X184" s="98">
        <f>IF(VLOOKUP($D184,$C$5:$AJ$646,22,)=0,0,((VLOOKUP($D184,$C$5:$AJ$646,22,)/VLOOKUP($D184,$C$5:$AJ$646,4,))*$F184))</f>
        <v>0</v>
      </c>
      <c r="Y184" s="98">
        <f>IF(VLOOKUP($D184,$C$5:$AJ$646,23,)=0,0,((VLOOKUP($D184,$C$5:$AJ$646,23,)/VLOOKUP($D184,$C$5:$AJ$646,4,))*$F184))</f>
        <v>0</v>
      </c>
      <c r="Z184" s="98">
        <f>IF(VLOOKUP($D184,$C$5:$AJ$646,24,)=0,0,((VLOOKUP($D184,$C$5:$AJ$646,24,)/VLOOKUP($D184,$C$5:$AJ$646,4,))*$F184))</f>
        <v>0</v>
      </c>
      <c r="AA184" s="98">
        <f>IF(VLOOKUP($D184,$C$5:$AJ$646,25,)=0,0,((VLOOKUP($D184,$C$5:$AJ$646,25,)/VLOOKUP($D184,$C$5:$AJ$646,4,))*$F184))</f>
        <v>0</v>
      </c>
      <c r="AB184" s="98">
        <f>IF(VLOOKUP($D184,$C$5:$AJ$646,26,)=0,0,((VLOOKUP($D184,$C$5:$AJ$646,26,)/VLOOKUP($D184,$C$5:$AJ$646,4,))*$F184))</f>
        <v>0</v>
      </c>
      <c r="AC184" s="98">
        <f>IF(VLOOKUP($D184,$C$5:$AJ$646,27,)=0,0,((VLOOKUP($D184,$C$5:$AJ$646,27,)/VLOOKUP($D184,$C$5:$AJ$646,4,))*$F184))</f>
        <v>0</v>
      </c>
      <c r="AD184" s="98">
        <f>IF(VLOOKUP($D184,$C$5:$AJ$646,28,)=0,0,((VLOOKUP($D184,$C$5:$AJ$646,28,)/VLOOKUP($D184,$C$5:$AJ$646,4,))*$F184))</f>
        <v>0</v>
      </c>
      <c r="AE184" s="98"/>
      <c r="AF184" s="98">
        <f>IF(VLOOKUP($D184,$C$5:$AJ$646,30,)=0,0,((VLOOKUP($D184,$C$5:$AJ$646,30,)/VLOOKUP($D184,$C$5:$AJ$646,4,))*$F184))</f>
        <v>0</v>
      </c>
      <c r="AG184" s="98"/>
      <c r="AH184" s="98">
        <f>IF(VLOOKUP($D184,$C$5:$AJ$646,32,)=0,0,((VLOOKUP($D184,$C$5:$AJ$646,32,)/VLOOKUP($D184,$C$5:$AJ$646,4,))*$F184))</f>
        <v>0</v>
      </c>
      <c r="AI184" s="98"/>
      <c r="AJ184" s="98">
        <f>IF(VLOOKUP($D184,$C$5:$AJ$646,34,)=0,0,((VLOOKUP($D184,$C$5:$AJ$646,34,)/VLOOKUP($D184,$C$5:$AJ$646,4,))*$F184))</f>
        <v>0</v>
      </c>
      <c r="AK184" s="98">
        <f>SUM(H184:AJ184)</f>
        <v>6836.9629831185212</v>
      </c>
      <c r="AL184" s="95" t="str">
        <f>IF(ABS(AK184-F184)&lt;1,"ok","err")</f>
        <v>ok</v>
      </c>
    </row>
    <row r="185" spans="1:38" x14ac:dyDescent="0.25">
      <c r="F185" s="97"/>
      <c r="Y185" s="94"/>
      <c r="AL185" s="95"/>
    </row>
    <row r="186" spans="1:38" x14ac:dyDescent="0.25">
      <c r="B186" s="94" t="s">
        <v>2038</v>
      </c>
      <c r="F186" s="97">
        <f>SUM(F180:F185)</f>
        <v>372118.9775187851</v>
      </c>
      <c r="H186" s="97">
        <f t="shared" ref="H186:M186" si="123">SUM(H180:H185)</f>
        <v>72744.664572245616</v>
      </c>
      <c r="I186" s="97">
        <f t="shared" si="123"/>
        <v>68574.776624731807</v>
      </c>
      <c r="J186" s="97">
        <f t="shared" si="123"/>
        <v>70426.768992635407</v>
      </c>
      <c r="K186" s="97">
        <f t="shared" si="123"/>
        <v>160372.76732917226</v>
      </c>
      <c r="L186" s="97">
        <f t="shared" si="123"/>
        <v>0</v>
      </c>
      <c r="M186" s="97">
        <f t="shared" si="123"/>
        <v>0</v>
      </c>
      <c r="O186" s="97">
        <f>SUM(O180:O185)</f>
        <v>0</v>
      </c>
      <c r="P186" s="97">
        <f>SUM(P180:P185)</f>
        <v>0</v>
      </c>
      <c r="Q186" s="97">
        <f>SUM(Q180:Q185)</f>
        <v>0</v>
      </c>
      <c r="S186" s="97">
        <f t="shared" ref="S186:AD186" si="124">SUM(S180:S185)</f>
        <v>0</v>
      </c>
      <c r="T186" s="97">
        <f t="shared" si="124"/>
        <v>0</v>
      </c>
      <c r="U186" s="97">
        <f t="shared" si="124"/>
        <v>0</v>
      </c>
      <c r="V186" s="97">
        <f t="shared" si="124"/>
        <v>0</v>
      </c>
      <c r="W186" s="97">
        <f t="shared" si="124"/>
        <v>0</v>
      </c>
      <c r="X186" s="97">
        <f t="shared" si="124"/>
        <v>0</v>
      </c>
      <c r="Y186" s="97">
        <f t="shared" si="124"/>
        <v>0</v>
      </c>
      <c r="Z186" s="97">
        <f t="shared" si="124"/>
        <v>0</v>
      </c>
      <c r="AA186" s="97">
        <f t="shared" si="124"/>
        <v>0</v>
      </c>
      <c r="AB186" s="97">
        <f t="shared" si="124"/>
        <v>0</v>
      </c>
      <c r="AC186" s="97">
        <f t="shared" si="124"/>
        <v>0</v>
      </c>
      <c r="AD186" s="97">
        <f t="shared" si="124"/>
        <v>0</v>
      </c>
      <c r="AF186" s="97">
        <f>SUM(AF180:AF185)</f>
        <v>0</v>
      </c>
      <c r="AH186" s="97">
        <f>SUM(AH180:AH185)</f>
        <v>0</v>
      </c>
      <c r="AJ186" s="97">
        <f>SUM(AJ180:AJ185)</f>
        <v>0</v>
      </c>
      <c r="AK186" s="98">
        <f>SUM(H186:AJ186)</f>
        <v>372118.97751878505</v>
      </c>
      <c r="AL186" s="95" t="str">
        <f>IF(ABS(AK186-F186)&lt;1,"ok","err")</f>
        <v>ok</v>
      </c>
    </row>
    <row r="187" spans="1:38" x14ac:dyDescent="0.25">
      <c r="F187" s="97"/>
      <c r="H187" s="97"/>
      <c r="I187" s="97"/>
      <c r="J187" s="97"/>
      <c r="K187" s="97"/>
      <c r="L187" s="97"/>
      <c r="M187" s="97"/>
      <c r="O187" s="97"/>
      <c r="P187" s="97"/>
      <c r="Q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F187" s="97"/>
      <c r="AH187" s="97"/>
      <c r="AJ187" s="97"/>
      <c r="AK187" s="98"/>
      <c r="AL187" s="95"/>
    </row>
    <row r="188" spans="1:38" x14ac:dyDescent="0.25">
      <c r="B188" s="94" t="s">
        <v>2037</v>
      </c>
      <c r="F188" s="97">
        <f>F177+F186</f>
        <v>417532.6873474872</v>
      </c>
      <c r="H188" s="97">
        <f t="shared" ref="H188:M188" si="125">H177+H186</f>
        <v>88346.384600726611</v>
      </c>
      <c r="I188" s="97">
        <f t="shared" si="125"/>
        <v>83282.170936133756</v>
      </c>
      <c r="J188" s="97">
        <f t="shared" si="125"/>
        <v>85531.36448145457</v>
      </c>
      <c r="K188" s="97">
        <f t="shared" si="125"/>
        <v>160372.76732917226</v>
      </c>
      <c r="L188" s="97">
        <f t="shared" si="125"/>
        <v>0</v>
      </c>
      <c r="M188" s="97">
        <f t="shared" si="125"/>
        <v>0</v>
      </c>
      <c r="O188" s="97">
        <f>O177+O186</f>
        <v>0</v>
      </c>
      <c r="P188" s="97">
        <f>P177+P186</f>
        <v>0</v>
      </c>
      <c r="Q188" s="97">
        <f>Q177+Q186</f>
        <v>0</v>
      </c>
      <c r="S188" s="97">
        <f t="shared" ref="S188:AD188" si="126">S177+S186</f>
        <v>0</v>
      </c>
      <c r="T188" s="97">
        <f t="shared" si="126"/>
        <v>0</v>
      </c>
      <c r="U188" s="97">
        <f t="shared" si="126"/>
        <v>0</v>
      </c>
      <c r="V188" s="97">
        <f t="shared" si="126"/>
        <v>0</v>
      </c>
      <c r="W188" s="97">
        <f t="shared" si="126"/>
        <v>0</v>
      </c>
      <c r="X188" s="97">
        <f t="shared" si="126"/>
        <v>0</v>
      </c>
      <c r="Y188" s="97">
        <f t="shared" si="126"/>
        <v>0</v>
      </c>
      <c r="Z188" s="97">
        <f t="shared" si="126"/>
        <v>0</v>
      </c>
      <c r="AA188" s="97">
        <f t="shared" si="126"/>
        <v>0</v>
      </c>
      <c r="AB188" s="97">
        <f t="shared" si="126"/>
        <v>0</v>
      </c>
      <c r="AC188" s="97">
        <f t="shared" si="126"/>
        <v>0</v>
      </c>
      <c r="AD188" s="97">
        <f t="shared" si="126"/>
        <v>0</v>
      </c>
      <c r="AF188" s="97">
        <f>AF177+AF186</f>
        <v>0</v>
      </c>
      <c r="AH188" s="97">
        <f>AH177+AH186</f>
        <v>0</v>
      </c>
      <c r="AJ188" s="97">
        <f>AJ177+AJ186</f>
        <v>0</v>
      </c>
      <c r="AK188" s="98">
        <f>SUM(H188:AJ188)</f>
        <v>417532.6873474872</v>
      </c>
      <c r="AL188" s="95" t="str">
        <f>IF(ABS(AK188-F188)&lt;1,"ok","err")</f>
        <v>ok</v>
      </c>
    </row>
    <row r="189" spans="1:38" x14ac:dyDescent="0.25">
      <c r="F189" s="97"/>
      <c r="Y189" s="94"/>
      <c r="AL189" s="95"/>
    </row>
    <row r="190" spans="1:38" x14ac:dyDescent="0.25">
      <c r="A190" s="16" t="s">
        <v>1944</v>
      </c>
      <c r="F190" s="97"/>
      <c r="Y190" s="94"/>
      <c r="AL190" s="95"/>
    </row>
    <row r="191" spans="1:38" x14ac:dyDescent="0.25">
      <c r="A191" s="94">
        <v>546</v>
      </c>
      <c r="B191" s="94" t="s">
        <v>1921</v>
      </c>
      <c r="C191" s="94" t="s">
        <v>1945</v>
      </c>
      <c r="D191" s="94" t="s">
        <v>888</v>
      </c>
      <c r="F191" s="97">
        <f>'Jurisdictional Study'!F973</f>
        <v>182408.88949356359</v>
      </c>
      <c r="H191" s="98">
        <f>IF(VLOOKUP($D191,$C$5:$AJ$646,6,)=0,0,((VLOOKUP($D191,$C$5:$AJ$646,6,)/VLOOKUP($D191,$C$5:$AJ$646,4,))*$F191))</f>
        <v>62665.931396471438</v>
      </c>
      <c r="I191" s="98">
        <f>IF(VLOOKUP($D191,$C$5:$AJ$646,7,)=0,0,((VLOOKUP($D191,$C$5:$AJ$646,7,)/VLOOKUP($D191,$C$5:$AJ$646,4,))*$F191))</f>
        <v>59073.779125422661</v>
      </c>
      <c r="J191" s="98">
        <f>IF(VLOOKUP($D191,$C$5:$AJ$646,8,)=0,0,((VLOOKUP($D191,$C$5:$AJ$646,8,)/VLOOKUP($D191,$C$5:$AJ$646,4,))*$F191))</f>
        <v>60669.178971669469</v>
      </c>
      <c r="K191" s="98">
        <f>IF(VLOOKUP($D191,$C$5:$AJ$646,9,)=0,0,((VLOOKUP($D191,$C$5:$AJ$646,9,)/VLOOKUP($D191,$C$5:$AJ$646,4,))*$F191))</f>
        <v>0</v>
      </c>
      <c r="L191" s="98">
        <f>IF(VLOOKUP($D191,$C$5:$AJ$646,10,)=0,0,((VLOOKUP($D191,$C$5:$AJ$646,10,)/VLOOKUP($D191,$C$5:$AJ$646,4,))*$F191))</f>
        <v>0</v>
      </c>
      <c r="M191" s="98">
        <f>IF(VLOOKUP($D191,$C$5:$AJ$646,11,)=0,0,((VLOOKUP($D191,$C$5:$AJ$646,11,)/VLOOKUP($D191,$C$5:$AJ$646,4,))*$F191))</f>
        <v>0</v>
      </c>
      <c r="N191" s="98"/>
      <c r="O191" s="98">
        <f>IF(VLOOKUP($D191,$C$5:$AJ$646,13,)=0,0,((VLOOKUP($D191,$C$5:$AJ$646,13,)/VLOOKUP($D191,$C$5:$AJ$646,4,))*$F191))</f>
        <v>0</v>
      </c>
      <c r="P191" s="98">
        <f>IF(VLOOKUP($D191,$C$5:$AJ$646,14,)=0,0,((VLOOKUP($D191,$C$5:$AJ$646,14,)/VLOOKUP($D191,$C$5:$AJ$646,4,))*$F191))</f>
        <v>0</v>
      </c>
      <c r="Q191" s="98">
        <f>IF(VLOOKUP($D191,$C$5:$AJ$646,15,)=0,0,((VLOOKUP($D191,$C$5:$AJ$646,15,)/VLOOKUP($D191,$C$5:$AJ$646,4,))*$F191))</f>
        <v>0</v>
      </c>
      <c r="R191" s="98"/>
      <c r="S191" s="98">
        <f>IF(VLOOKUP($D191,$C$5:$AJ$646,17,)=0,0,((VLOOKUP($D191,$C$5:$AJ$646,17,)/VLOOKUP($D191,$C$5:$AJ$646,4,))*$F191))</f>
        <v>0</v>
      </c>
      <c r="T191" s="98">
        <f>IF(VLOOKUP($D191,$C$5:$AJ$646,18,)=0,0,((VLOOKUP($D191,$C$5:$AJ$646,18,)/VLOOKUP($D191,$C$5:$AJ$646,4,))*$F191))</f>
        <v>0</v>
      </c>
      <c r="U191" s="98">
        <f>IF(VLOOKUP($D191,$C$5:$AJ$646,19,)=0,0,((VLOOKUP($D191,$C$5:$AJ$646,19,)/VLOOKUP($D191,$C$5:$AJ$646,4,))*$F191))</f>
        <v>0</v>
      </c>
      <c r="V191" s="98">
        <f>IF(VLOOKUP($D191,$C$5:$AJ$646,20,)=0,0,((VLOOKUP($D191,$C$5:$AJ$646,20,)/VLOOKUP($D191,$C$5:$AJ$646,4,))*$F191))</f>
        <v>0</v>
      </c>
      <c r="W191" s="98">
        <f>IF(VLOOKUP($D191,$C$5:$AJ$646,21,)=0,0,((VLOOKUP($D191,$C$5:$AJ$646,21,)/VLOOKUP($D191,$C$5:$AJ$646,4,))*$F191))</f>
        <v>0</v>
      </c>
      <c r="X191" s="98">
        <f>IF(VLOOKUP($D191,$C$5:$AJ$646,22,)=0,0,((VLOOKUP($D191,$C$5:$AJ$646,22,)/VLOOKUP($D191,$C$5:$AJ$646,4,))*$F191))</f>
        <v>0</v>
      </c>
      <c r="Y191" s="98">
        <f>IF(VLOOKUP($D191,$C$5:$AJ$646,23,)=0,0,((VLOOKUP($D191,$C$5:$AJ$646,23,)/VLOOKUP($D191,$C$5:$AJ$646,4,))*$F191))</f>
        <v>0</v>
      </c>
      <c r="Z191" s="98">
        <f>IF(VLOOKUP($D191,$C$5:$AJ$646,24,)=0,0,((VLOOKUP($D191,$C$5:$AJ$646,24,)/VLOOKUP($D191,$C$5:$AJ$646,4,))*$F191))</f>
        <v>0</v>
      </c>
      <c r="AA191" s="98">
        <f>IF(VLOOKUP($D191,$C$5:$AJ$646,25,)=0,0,((VLOOKUP($D191,$C$5:$AJ$646,25,)/VLOOKUP($D191,$C$5:$AJ$646,4,))*$F191))</f>
        <v>0</v>
      </c>
      <c r="AB191" s="98">
        <f>IF(VLOOKUP($D191,$C$5:$AJ$646,26,)=0,0,((VLOOKUP($D191,$C$5:$AJ$646,26,)/VLOOKUP($D191,$C$5:$AJ$646,4,))*$F191))</f>
        <v>0</v>
      </c>
      <c r="AC191" s="98">
        <f>IF(VLOOKUP($D191,$C$5:$AJ$646,27,)=0,0,((VLOOKUP($D191,$C$5:$AJ$646,27,)/VLOOKUP($D191,$C$5:$AJ$646,4,))*$F191))</f>
        <v>0</v>
      </c>
      <c r="AD191" s="98">
        <f>IF(VLOOKUP($D191,$C$5:$AJ$646,28,)=0,0,((VLOOKUP($D191,$C$5:$AJ$646,28,)/VLOOKUP($D191,$C$5:$AJ$646,4,))*$F191))</f>
        <v>0</v>
      </c>
      <c r="AE191" s="98"/>
      <c r="AF191" s="98">
        <f>IF(VLOOKUP($D191,$C$5:$AJ$646,30,)=0,0,((VLOOKUP($D191,$C$5:$AJ$646,30,)/VLOOKUP($D191,$C$5:$AJ$646,4,))*$F191))</f>
        <v>0</v>
      </c>
      <c r="AG191" s="98"/>
      <c r="AH191" s="98">
        <f>IF(VLOOKUP($D191,$C$5:$AJ$646,32,)=0,0,((VLOOKUP($D191,$C$5:$AJ$646,32,)/VLOOKUP($D191,$C$5:$AJ$646,4,))*$F191))</f>
        <v>0</v>
      </c>
      <c r="AI191" s="98"/>
      <c r="AJ191" s="98">
        <f>IF(VLOOKUP($D191,$C$5:$AJ$646,34,)=0,0,((VLOOKUP($D191,$C$5:$AJ$646,34,)/VLOOKUP($D191,$C$5:$AJ$646,4,))*$F191))</f>
        <v>0</v>
      </c>
      <c r="AK191" s="98">
        <f>SUM(H191:AJ191)</f>
        <v>182408.88949356356</v>
      </c>
      <c r="AL191" s="95" t="str">
        <f>IF(ABS(AK191-F191)&lt;1,"ok","err")</f>
        <v>ok</v>
      </c>
    </row>
    <row r="192" spans="1:38" x14ac:dyDescent="0.25">
      <c r="A192" s="94">
        <v>547</v>
      </c>
      <c r="B192" s="94" t="s">
        <v>1923</v>
      </c>
      <c r="C192" s="94" t="s">
        <v>1946</v>
      </c>
      <c r="D192" s="94" t="s">
        <v>124</v>
      </c>
      <c r="F192" s="98">
        <f>'Jurisdictional Study'!F974</f>
        <v>27501175.406334795</v>
      </c>
      <c r="H192" s="98">
        <f>IF(VLOOKUP($D192,$C$5:$AJ$646,6,)=0,0,((VLOOKUP($D192,$C$5:$AJ$646,6,)/VLOOKUP($D192,$C$5:$AJ$646,4,))*$F192))</f>
        <v>0</v>
      </c>
      <c r="I192" s="98">
        <f>IF(VLOOKUP($D192,$C$5:$AJ$646,7,)=0,0,((VLOOKUP($D192,$C$5:$AJ$646,7,)/VLOOKUP($D192,$C$5:$AJ$646,4,))*$F192))</f>
        <v>0</v>
      </c>
      <c r="J192" s="98">
        <f>IF(VLOOKUP($D192,$C$5:$AJ$646,8,)=0,0,((VLOOKUP($D192,$C$5:$AJ$646,8,)/VLOOKUP($D192,$C$5:$AJ$646,4,))*$F192))</f>
        <v>0</v>
      </c>
      <c r="K192" s="98">
        <f>IF(VLOOKUP($D192,$C$5:$AJ$646,9,)=0,0,((VLOOKUP($D192,$C$5:$AJ$646,9,)/VLOOKUP($D192,$C$5:$AJ$646,4,))*$F192))</f>
        <v>27501175.406334795</v>
      </c>
      <c r="L192" s="98">
        <f>IF(VLOOKUP($D192,$C$5:$AJ$646,10,)=0,0,((VLOOKUP($D192,$C$5:$AJ$646,10,)/VLOOKUP($D192,$C$5:$AJ$646,4,))*$F192))</f>
        <v>0</v>
      </c>
      <c r="M192" s="98">
        <f>IF(VLOOKUP($D192,$C$5:$AJ$646,11,)=0,0,((VLOOKUP($D192,$C$5:$AJ$646,11,)/VLOOKUP($D192,$C$5:$AJ$646,4,))*$F192))</f>
        <v>0</v>
      </c>
      <c r="N192" s="98"/>
      <c r="O192" s="98">
        <f>IF(VLOOKUP($D192,$C$5:$AJ$646,13,)=0,0,((VLOOKUP($D192,$C$5:$AJ$646,13,)/VLOOKUP($D192,$C$5:$AJ$646,4,))*$F192))</f>
        <v>0</v>
      </c>
      <c r="P192" s="98">
        <f>IF(VLOOKUP($D192,$C$5:$AJ$646,14,)=0,0,((VLOOKUP($D192,$C$5:$AJ$646,14,)/VLOOKUP($D192,$C$5:$AJ$646,4,))*$F192))</f>
        <v>0</v>
      </c>
      <c r="Q192" s="98">
        <f>IF(VLOOKUP($D192,$C$5:$AJ$646,15,)=0,0,((VLOOKUP($D192,$C$5:$AJ$646,15,)/VLOOKUP($D192,$C$5:$AJ$646,4,))*$F192))</f>
        <v>0</v>
      </c>
      <c r="R192" s="98"/>
      <c r="S192" s="98">
        <f>IF(VLOOKUP($D192,$C$5:$AJ$646,17,)=0,0,((VLOOKUP($D192,$C$5:$AJ$646,17,)/VLOOKUP($D192,$C$5:$AJ$646,4,))*$F192))</f>
        <v>0</v>
      </c>
      <c r="T192" s="98">
        <f>IF(VLOOKUP($D192,$C$5:$AJ$646,18,)=0,0,((VLOOKUP($D192,$C$5:$AJ$646,18,)/VLOOKUP($D192,$C$5:$AJ$646,4,))*$F192))</f>
        <v>0</v>
      </c>
      <c r="U192" s="98">
        <f>IF(VLOOKUP($D192,$C$5:$AJ$646,19,)=0,0,((VLOOKUP($D192,$C$5:$AJ$646,19,)/VLOOKUP($D192,$C$5:$AJ$646,4,))*$F192))</f>
        <v>0</v>
      </c>
      <c r="V192" s="98">
        <f>IF(VLOOKUP($D192,$C$5:$AJ$646,20,)=0,0,((VLOOKUP($D192,$C$5:$AJ$646,20,)/VLOOKUP($D192,$C$5:$AJ$646,4,))*$F192))</f>
        <v>0</v>
      </c>
      <c r="W192" s="98">
        <f>IF(VLOOKUP($D192,$C$5:$AJ$646,21,)=0,0,((VLOOKUP($D192,$C$5:$AJ$646,21,)/VLOOKUP($D192,$C$5:$AJ$646,4,))*$F192))</f>
        <v>0</v>
      </c>
      <c r="X192" s="98">
        <f>IF(VLOOKUP($D192,$C$5:$AJ$646,22,)=0,0,((VLOOKUP($D192,$C$5:$AJ$646,22,)/VLOOKUP($D192,$C$5:$AJ$646,4,))*$F192))</f>
        <v>0</v>
      </c>
      <c r="Y192" s="98">
        <f>IF(VLOOKUP($D192,$C$5:$AJ$646,23,)=0,0,((VLOOKUP($D192,$C$5:$AJ$646,23,)/VLOOKUP($D192,$C$5:$AJ$646,4,))*$F192))</f>
        <v>0</v>
      </c>
      <c r="Z192" s="98">
        <f>IF(VLOOKUP($D192,$C$5:$AJ$646,24,)=0,0,((VLOOKUP($D192,$C$5:$AJ$646,24,)/VLOOKUP($D192,$C$5:$AJ$646,4,))*$F192))</f>
        <v>0</v>
      </c>
      <c r="AA192" s="98">
        <f>IF(VLOOKUP($D192,$C$5:$AJ$646,25,)=0,0,((VLOOKUP($D192,$C$5:$AJ$646,25,)/VLOOKUP($D192,$C$5:$AJ$646,4,))*$F192))</f>
        <v>0</v>
      </c>
      <c r="AB192" s="98">
        <f>IF(VLOOKUP($D192,$C$5:$AJ$646,26,)=0,0,((VLOOKUP($D192,$C$5:$AJ$646,26,)/VLOOKUP($D192,$C$5:$AJ$646,4,))*$F192))</f>
        <v>0</v>
      </c>
      <c r="AC192" s="98">
        <f>IF(VLOOKUP($D192,$C$5:$AJ$646,27,)=0,0,((VLOOKUP($D192,$C$5:$AJ$646,27,)/VLOOKUP($D192,$C$5:$AJ$646,4,))*$F192))</f>
        <v>0</v>
      </c>
      <c r="AD192" s="98">
        <f>IF(VLOOKUP($D192,$C$5:$AJ$646,28,)=0,0,((VLOOKUP($D192,$C$5:$AJ$646,28,)/VLOOKUP($D192,$C$5:$AJ$646,4,))*$F192))</f>
        <v>0</v>
      </c>
      <c r="AE192" s="98"/>
      <c r="AF192" s="98">
        <f>IF(VLOOKUP($D192,$C$5:$AJ$646,30,)=0,0,((VLOOKUP($D192,$C$5:$AJ$646,30,)/VLOOKUP($D192,$C$5:$AJ$646,4,))*$F192))</f>
        <v>0</v>
      </c>
      <c r="AG192" s="98"/>
      <c r="AH192" s="98">
        <f>IF(VLOOKUP($D192,$C$5:$AJ$646,32,)=0,0,((VLOOKUP($D192,$C$5:$AJ$646,32,)/VLOOKUP($D192,$C$5:$AJ$646,4,))*$F192))</f>
        <v>0</v>
      </c>
      <c r="AI192" s="98"/>
      <c r="AJ192" s="98">
        <f>IF(VLOOKUP($D192,$C$5:$AJ$646,34,)=0,0,((VLOOKUP($D192,$C$5:$AJ$646,34,)/VLOOKUP($D192,$C$5:$AJ$646,4,))*$F192))</f>
        <v>0</v>
      </c>
      <c r="AK192" s="98">
        <f>SUM(H192:AJ192)</f>
        <v>27501175.406334795</v>
      </c>
      <c r="AL192" s="95" t="str">
        <f>IF(ABS(AK192-F192)&lt;1,"ok","err")</f>
        <v>ok</v>
      </c>
    </row>
    <row r="193" spans="1:38" x14ac:dyDescent="0.25">
      <c r="A193" s="94">
        <v>548</v>
      </c>
      <c r="B193" s="94" t="s">
        <v>1947</v>
      </c>
      <c r="C193" s="94" t="s">
        <v>1948</v>
      </c>
      <c r="D193" s="94" t="s">
        <v>885</v>
      </c>
      <c r="F193" s="98">
        <f>'Jurisdictional Study'!F975</f>
        <v>267068.54228723212</v>
      </c>
      <c r="H193" s="98">
        <f>IF(VLOOKUP($D193,$C$5:$AJ$646,6,)=0,0,((VLOOKUP($D193,$C$5:$AJ$646,6,)/VLOOKUP($D193,$C$5:$AJ$646,4,))*$F193))</f>
        <v>91750.456875172546</v>
      </c>
      <c r="I193" s="98">
        <f>IF(VLOOKUP($D193,$C$5:$AJ$646,7,)=0,0,((VLOOKUP($D193,$C$5:$AJ$646,7,)/VLOOKUP($D193,$C$5:$AJ$646,4,))*$F193))</f>
        <v>86491.114124025451</v>
      </c>
      <c r="J193" s="98">
        <f>IF(VLOOKUP($D193,$C$5:$AJ$646,8,)=0,0,((VLOOKUP($D193,$C$5:$AJ$646,8,)/VLOOKUP($D193,$C$5:$AJ$646,4,))*$F193))</f>
        <v>88826.971288034125</v>
      </c>
      <c r="K193" s="98">
        <f>IF(VLOOKUP($D193,$C$5:$AJ$646,9,)=0,0,((VLOOKUP($D193,$C$5:$AJ$646,9,)/VLOOKUP($D193,$C$5:$AJ$646,4,))*$F193))</f>
        <v>0</v>
      </c>
      <c r="L193" s="98">
        <f>IF(VLOOKUP($D193,$C$5:$AJ$646,10,)=0,0,((VLOOKUP($D193,$C$5:$AJ$646,10,)/VLOOKUP($D193,$C$5:$AJ$646,4,))*$F193))</f>
        <v>0</v>
      </c>
      <c r="M193" s="98">
        <f>IF(VLOOKUP($D193,$C$5:$AJ$646,11,)=0,0,((VLOOKUP($D193,$C$5:$AJ$646,11,)/VLOOKUP($D193,$C$5:$AJ$646,4,))*$F193))</f>
        <v>0</v>
      </c>
      <c r="N193" s="98"/>
      <c r="O193" s="98">
        <f>IF(VLOOKUP($D193,$C$5:$AJ$646,13,)=0,0,((VLOOKUP($D193,$C$5:$AJ$646,13,)/VLOOKUP($D193,$C$5:$AJ$646,4,))*$F193))</f>
        <v>0</v>
      </c>
      <c r="P193" s="98">
        <f>IF(VLOOKUP($D193,$C$5:$AJ$646,14,)=0,0,((VLOOKUP($D193,$C$5:$AJ$646,14,)/VLOOKUP($D193,$C$5:$AJ$646,4,))*$F193))</f>
        <v>0</v>
      </c>
      <c r="Q193" s="98">
        <f>IF(VLOOKUP($D193,$C$5:$AJ$646,15,)=0,0,((VLOOKUP($D193,$C$5:$AJ$646,15,)/VLOOKUP($D193,$C$5:$AJ$646,4,))*$F193))</f>
        <v>0</v>
      </c>
      <c r="R193" s="98"/>
      <c r="S193" s="98">
        <f>IF(VLOOKUP($D193,$C$5:$AJ$646,17,)=0,0,((VLOOKUP($D193,$C$5:$AJ$646,17,)/VLOOKUP($D193,$C$5:$AJ$646,4,))*$F193))</f>
        <v>0</v>
      </c>
      <c r="T193" s="98">
        <f>IF(VLOOKUP($D193,$C$5:$AJ$646,18,)=0,0,((VLOOKUP($D193,$C$5:$AJ$646,18,)/VLOOKUP($D193,$C$5:$AJ$646,4,))*$F193))</f>
        <v>0</v>
      </c>
      <c r="U193" s="98">
        <f>IF(VLOOKUP($D193,$C$5:$AJ$646,19,)=0,0,((VLOOKUP($D193,$C$5:$AJ$646,19,)/VLOOKUP($D193,$C$5:$AJ$646,4,))*$F193))</f>
        <v>0</v>
      </c>
      <c r="V193" s="98">
        <f>IF(VLOOKUP($D193,$C$5:$AJ$646,20,)=0,0,((VLOOKUP($D193,$C$5:$AJ$646,20,)/VLOOKUP($D193,$C$5:$AJ$646,4,))*$F193))</f>
        <v>0</v>
      </c>
      <c r="W193" s="98">
        <f>IF(VLOOKUP($D193,$C$5:$AJ$646,21,)=0,0,((VLOOKUP($D193,$C$5:$AJ$646,21,)/VLOOKUP($D193,$C$5:$AJ$646,4,))*$F193))</f>
        <v>0</v>
      </c>
      <c r="X193" s="98">
        <f>IF(VLOOKUP($D193,$C$5:$AJ$646,22,)=0,0,((VLOOKUP($D193,$C$5:$AJ$646,22,)/VLOOKUP($D193,$C$5:$AJ$646,4,))*$F193))</f>
        <v>0</v>
      </c>
      <c r="Y193" s="98">
        <f>IF(VLOOKUP($D193,$C$5:$AJ$646,23,)=0,0,((VLOOKUP($D193,$C$5:$AJ$646,23,)/VLOOKUP($D193,$C$5:$AJ$646,4,))*$F193))</f>
        <v>0</v>
      </c>
      <c r="Z193" s="98">
        <f>IF(VLOOKUP($D193,$C$5:$AJ$646,24,)=0,0,((VLOOKUP($D193,$C$5:$AJ$646,24,)/VLOOKUP($D193,$C$5:$AJ$646,4,))*$F193))</f>
        <v>0</v>
      </c>
      <c r="AA193" s="98">
        <f>IF(VLOOKUP($D193,$C$5:$AJ$646,25,)=0,0,((VLOOKUP($D193,$C$5:$AJ$646,25,)/VLOOKUP($D193,$C$5:$AJ$646,4,))*$F193))</f>
        <v>0</v>
      </c>
      <c r="AB193" s="98">
        <f>IF(VLOOKUP($D193,$C$5:$AJ$646,26,)=0,0,((VLOOKUP($D193,$C$5:$AJ$646,26,)/VLOOKUP($D193,$C$5:$AJ$646,4,))*$F193))</f>
        <v>0</v>
      </c>
      <c r="AC193" s="98">
        <f>IF(VLOOKUP($D193,$C$5:$AJ$646,27,)=0,0,((VLOOKUP($D193,$C$5:$AJ$646,27,)/VLOOKUP($D193,$C$5:$AJ$646,4,))*$F193))</f>
        <v>0</v>
      </c>
      <c r="AD193" s="98">
        <f>IF(VLOOKUP($D193,$C$5:$AJ$646,28,)=0,0,((VLOOKUP($D193,$C$5:$AJ$646,28,)/VLOOKUP($D193,$C$5:$AJ$646,4,))*$F193))</f>
        <v>0</v>
      </c>
      <c r="AE193" s="98"/>
      <c r="AF193" s="98">
        <f>IF(VLOOKUP($D193,$C$5:$AJ$646,30,)=0,0,((VLOOKUP($D193,$C$5:$AJ$646,30,)/VLOOKUP($D193,$C$5:$AJ$646,4,))*$F193))</f>
        <v>0</v>
      </c>
      <c r="AG193" s="98"/>
      <c r="AH193" s="98">
        <f>IF(VLOOKUP($D193,$C$5:$AJ$646,32,)=0,0,((VLOOKUP($D193,$C$5:$AJ$646,32,)/VLOOKUP($D193,$C$5:$AJ$646,4,))*$F193))</f>
        <v>0</v>
      </c>
      <c r="AI193" s="98"/>
      <c r="AJ193" s="98">
        <f>IF(VLOOKUP($D193,$C$5:$AJ$646,34,)=0,0,((VLOOKUP($D193,$C$5:$AJ$646,34,)/VLOOKUP($D193,$C$5:$AJ$646,4,))*$F193))</f>
        <v>0</v>
      </c>
      <c r="AK193" s="98">
        <f>SUM(H193:AJ193)</f>
        <v>267068.54228723212</v>
      </c>
      <c r="AL193" s="95" t="str">
        <f>IF(ABS(AK193-F193)&lt;1,"ok","err")</f>
        <v>ok</v>
      </c>
    </row>
    <row r="194" spans="1:38" x14ac:dyDescent="0.25">
      <c r="A194" s="94">
        <v>549</v>
      </c>
      <c r="B194" s="94" t="s">
        <v>1949</v>
      </c>
      <c r="C194" s="94" t="s">
        <v>1950</v>
      </c>
      <c r="D194" s="94" t="s">
        <v>885</v>
      </c>
      <c r="F194" s="98">
        <f>'Jurisdictional Study'!F976</f>
        <v>140149.27651089919</v>
      </c>
      <c r="H194" s="98">
        <f>IF(VLOOKUP($D194,$C$5:$AJ$646,6,)=0,0,((VLOOKUP($D194,$C$5:$AJ$646,6,)/VLOOKUP($D194,$C$5:$AJ$646,4,))*$F194))</f>
        <v>48147.790228211517</v>
      </c>
      <c r="I194" s="98">
        <f>IF(VLOOKUP($D194,$C$5:$AJ$646,7,)=0,0,((VLOOKUP($D194,$C$5:$AJ$646,7,)/VLOOKUP($D194,$C$5:$AJ$646,4,))*$F194))</f>
        <v>45387.850494450715</v>
      </c>
      <c r="J194" s="98">
        <f>IF(VLOOKUP($D194,$C$5:$AJ$646,8,)=0,0,((VLOOKUP($D194,$C$5:$AJ$646,8,)/VLOOKUP($D194,$C$5:$AJ$646,4,))*$F194))</f>
        <v>46613.635788236956</v>
      </c>
      <c r="K194" s="98">
        <f>IF(VLOOKUP($D194,$C$5:$AJ$646,9,)=0,0,((VLOOKUP($D194,$C$5:$AJ$646,9,)/VLOOKUP($D194,$C$5:$AJ$646,4,))*$F194))</f>
        <v>0</v>
      </c>
      <c r="L194" s="98">
        <f>IF(VLOOKUP($D194,$C$5:$AJ$646,10,)=0,0,((VLOOKUP($D194,$C$5:$AJ$646,10,)/VLOOKUP($D194,$C$5:$AJ$646,4,))*$F194))</f>
        <v>0</v>
      </c>
      <c r="M194" s="98">
        <f>IF(VLOOKUP($D194,$C$5:$AJ$646,11,)=0,0,((VLOOKUP($D194,$C$5:$AJ$646,11,)/VLOOKUP($D194,$C$5:$AJ$646,4,))*$F194))</f>
        <v>0</v>
      </c>
      <c r="N194" s="98"/>
      <c r="O194" s="98">
        <f>IF(VLOOKUP($D194,$C$5:$AJ$646,13,)=0,0,((VLOOKUP($D194,$C$5:$AJ$646,13,)/VLOOKUP($D194,$C$5:$AJ$646,4,))*$F194))</f>
        <v>0</v>
      </c>
      <c r="P194" s="98">
        <f>IF(VLOOKUP($D194,$C$5:$AJ$646,14,)=0,0,((VLOOKUP($D194,$C$5:$AJ$646,14,)/VLOOKUP($D194,$C$5:$AJ$646,4,))*$F194))</f>
        <v>0</v>
      </c>
      <c r="Q194" s="98">
        <f>IF(VLOOKUP($D194,$C$5:$AJ$646,15,)=0,0,((VLOOKUP($D194,$C$5:$AJ$646,15,)/VLOOKUP($D194,$C$5:$AJ$646,4,))*$F194))</f>
        <v>0</v>
      </c>
      <c r="R194" s="98"/>
      <c r="S194" s="98">
        <f>IF(VLOOKUP($D194,$C$5:$AJ$646,17,)=0,0,((VLOOKUP($D194,$C$5:$AJ$646,17,)/VLOOKUP($D194,$C$5:$AJ$646,4,))*$F194))</f>
        <v>0</v>
      </c>
      <c r="T194" s="98">
        <f>IF(VLOOKUP($D194,$C$5:$AJ$646,18,)=0,0,((VLOOKUP($D194,$C$5:$AJ$646,18,)/VLOOKUP($D194,$C$5:$AJ$646,4,))*$F194))</f>
        <v>0</v>
      </c>
      <c r="U194" s="98">
        <f>IF(VLOOKUP($D194,$C$5:$AJ$646,19,)=0,0,((VLOOKUP($D194,$C$5:$AJ$646,19,)/VLOOKUP($D194,$C$5:$AJ$646,4,))*$F194))</f>
        <v>0</v>
      </c>
      <c r="V194" s="98">
        <f>IF(VLOOKUP($D194,$C$5:$AJ$646,20,)=0,0,((VLOOKUP($D194,$C$5:$AJ$646,20,)/VLOOKUP($D194,$C$5:$AJ$646,4,))*$F194))</f>
        <v>0</v>
      </c>
      <c r="W194" s="98">
        <f>IF(VLOOKUP($D194,$C$5:$AJ$646,21,)=0,0,((VLOOKUP($D194,$C$5:$AJ$646,21,)/VLOOKUP($D194,$C$5:$AJ$646,4,))*$F194))</f>
        <v>0</v>
      </c>
      <c r="X194" s="98">
        <f>IF(VLOOKUP($D194,$C$5:$AJ$646,22,)=0,0,((VLOOKUP($D194,$C$5:$AJ$646,22,)/VLOOKUP($D194,$C$5:$AJ$646,4,))*$F194))</f>
        <v>0</v>
      </c>
      <c r="Y194" s="98">
        <f>IF(VLOOKUP($D194,$C$5:$AJ$646,23,)=0,0,((VLOOKUP($D194,$C$5:$AJ$646,23,)/VLOOKUP($D194,$C$5:$AJ$646,4,))*$F194))</f>
        <v>0</v>
      </c>
      <c r="Z194" s="98">
        <f>IF(VLOOKUP($D194,$C$5:$AJ$646,24,)=0,0,((VLOOKUP($D194,$C$5:$AJ$646,24,)/VLOOKUP($D194,$C$5:$AJ$646,4,))*$F194))</f>
        <v>0</v>
      </c>
      <c r="AA194" s="98">
        <f>IF(VLOOKUP($D194,$C$5:$AJ$646,25,)=0,0,((VLOOKUP($D194,$C$5:$AJ$646,25,)/VLOOKUP($D194,$C$5:$AJ$646,4,))*$F194))</f>
        <v>0</v>
      </c>
      <c r="AB194" s="98">
        <f>IF(VLOOKUP($D194,$C$5:$AJ$646,26,)=0,0,((VLOOKUP($D194,$C$5:$AJ$646,26,)/VLOOKUP($D194,$C$5:$AJ$646,4,))*$F194))</f>
        <v>0</v>
      </c>
      <c r="AC194" s="98">
        <f>IF(VLOOKUP($D194,$C$5:$AJ$646,27,)=0,0,((VLOOKUP($D194,$C$5:$AJ$646,27,)/VLOOKUP($D194,$C$5:$AJ$646,4,))*$F194))</f>
        <v>0</v>
      </c>
      <c r="AD194" s="98">
        <f>IF(VLOOKUP($D194,$C$5:$AJ$646,28,)=0,0,((VLOOKUP($D194,$C$5:$AJ$646,28,)/VLOOKUP($D194,$C$5:$AJ$646,4,))*$F194))</f>
        <v>0</v>
      </c>
      <c r="AE194" s="98"/>
      <c r="AF194" s="98">
        <f>IF(VLOOKUP($D194,$C$5:$AJ$646,30,)=0,0,((VLOOKUP($D194,$C$5:$AJ$646,30,)/VLOOKUP($D194,$C$5:$AJ$646,4,))*$F194))</f>
        <v>0</v>
      </c>
      <c r="AG194" s="98"/>
      <c r="AH194" s="98">
        <f>IF(VLOOKUP($D194,$C$5:$AJ$646,32,)=0,0,((VLOOKUP($D194,$C$5:$AJ$646,32,)/VLOOKUP($D194,$C$5:$AJ$646,4,))*$F194))</f>
        <v>0</v>
      </c>
      <c r="AI194" s="98"/>
      <c r="AJ194" s="98">
        <f>IF(VLOOKUP($D194,$C$5:$AJ$646,34,)=0,0,((VLOOKUP($D194,$C$5:$AJ$646,34,)/VLOOKUP($D194,$C$5:$AJ$646,4,))*$F194))</f>
        <v>0</v>
      </c>
      <c r="AK194" s="98">
        <f>SUM(H194:AJ194)</f>
        <v>140149.27651089919</v>
      </c>
      <c r="AL194" s="95" t="str">
        <f>IF(ABS(AK194-F194)&lt;1,"ok","err")</f>
        <v>ok</v>
      </c>
    </row>
    <row r="195" spans="1:38" x14ac:dyDescent="0.25">
      <c r="A195" s="94">
        <v>550</v>
      </c>
      <c r="B195" s="94" t="s">
        <v>455</v>
      </c>
      <c r="C195" s="94" t="s">
        <v>1951</v>
      </c>
      <c r="D195" s="94" t="s">
        <v>885</v>
      </c>
      <c r="F195" s="98">
        <v>0</v>
      </c>
      <c r="H195" s="98">
        <f>IF(VLOOKUP($D195,$C$5:$AJ$646,6,)=0,0,((VLOOKUP($D195,$C$5:$AJ$646,6,)/VLOOKUP($D195,$C$5:$AJ$646,4,))*$F195))</f>
        <v>0</v>
      </c>
      <c r="I195" s="98">
        <f>IF(VLOOKUP($D195,$C$5:$AJ$646,7,)=0,0,((VLOOKUP($D195,$C$5:$AJ$646,7,)/VLOOKUP($D195,$C$5:$AJ$646,4,))*$F195))</f>
        <v>0</v>
      </c>
      <c r="J195" s="98">
        <f>IF(VLOOKUP($D195,$C$5:$AJ$646,8,)=0,0,((VLOOKUP($D195,$C$5:$AJ$646,8,)/VLOOKUP($D195,$C$5:$AJ$646,4,))*$F195))</f>
        <v>0</v>
      </c>
      <c r="K195" s="98">
        <f>IF(VLOOKUP($D195,$C$5:$AJ$646,9,)=0,0,((VLOOKUP($D195,$C$5:$AJ$646,9,)/VLOOKUP($D195,$C$5:$AJ$646,4,))*$F195))</f>
        <v>0</v>
      </c>
      <c r="L195" s="98">
        <f>IF(VLOOKUP($D195,$C$5:$AJ$646,10,)=0,0,((VLOOKUP($D195,$C$5:$AJ$646,10,)/VLOOKUP($D195,$C$5:$AJ$646,4,))*$F195))</f>
        <v>0</v>
      </c>
      <c r="M195" s="98">
        <f>IF(VLOOKUP($D195,$C$5:$AJ$646,11,)=0,0,((VLOOKUP($D195,$C$5:$AJ$646,11,)/VLOOKUP($D195,$C$5:$AJ$646,4,))*$F195))</f>
        <v>0</v>
      </c>
      <c r="N195" s="98"/>
      <c r="O195" s="98">
        <f>IF(VLOOKUP($D195,$C$5:$AJ$646,13,)=0,0,((VLOOKUP($D195,$C$5:$AJ$646,13,)/VLOOKUP($D195,$C$5:$AJ$646,4,))*$F195))</f>
        <v>0</v>
      </c>
      <c r="P195" s="98">
        <f>IF(VLOOKUP($D195,$C$5:$AJ$646,14,)=0,0,((VLOOKUP($D195,$C$5:$AJ$646,14,)/VLOOKUP($D195,$C$5:$AJ$646,4,))*$F195))</f>
        <v>0</v>
      </c>
      <c r="Q195" s="98">
        <f>IF(VLOOKUP($D195,$C$5:$AJ$646,15,)=0,0,((VLOOKUP($D195,$C$5:$AJ$646,15,)/VLOOKUP($D195,$C$5:$AJ$646,4,))*$F195))</f>
        <v>0</v>
      </c>
      <c r="R195" s="98"/>
      <c r="S195" s="98">
        <f>IF(VLOOKUP($D195,$C$5:$AJ$646,17,)=0,0,((VLOOKUP($D195,$C$5:$AJ$646,17,)/VLOOKUP($D195,$C$5:$AJ$646,4,))*$F195))</f>
        <v>0</v>
      </c>
      <c r="T195" s="98">
        <f>IF(VLOOKUP($D195,$C$5:$AJ$646,18,)=0,0,((VLOOKUP($D195,$C$5:$AJ$646,18,)/VLOOKUP($D195,$C$5:$AJ$646,4,))*$F195))</f>
        <v>0</v>
      </c>
      <c r="U195" s="98">
        <f>IF(VLOOKUP($D195,$C$5:$AJ$646,19,)=0,0,((VLOOKUP($D195,$C$5:$AJ$646,19,)/VLOOKUP($D195,$C$5:$AJ$646,4,))*$F195))</f>
        <v>0</v>
      </c>
      <c r="V195" s="98">
        <f>IF(VLOOKUP($D195,$C$5:$AJ$646,20,)=0,0,((VLOOKUP($D195,$C$5:$AJ$646,20,)/VLOOKUP($D195,$C$5:$AJ$646,4,))*$F195))</f>
        <v>0</v>
      </c>
      <c r="W195" s="98">
        <f>IF(VLOOKUP($D195,$C$5:$AJ$646,21,)=0,0,((VLOOKUP($D195,$C$5:$AJ$646,21,)/VLOOKUP($D195,$C$5:$AJ$646,4,))*$F195))</f>
        <v>0</v>
      </c>
      <c r="X195" s="98">
        <f>IF(VLOOKUP($D195,$C$5:$AJ$646,22,)=0,0,((VLOOKUP($D195,$C$5:$AJ$646,22,)/VLOOKUP($D195,$C$5:$AJ$646,4,))*$F195))</f>
        <v>0</v>
      </c>
      <c r="Y195" s="98">
        <f>IF(VLOOKUP($D195,$C$5:$AJ$646,23,)=0,0,((VLOOKUP($D195,$C$5:$AJ$646,23,)/VLOOKUP($D195,$C$5:$AJ$646,4,))*$F195))</f>
        <v>0</v>
      </c>
      <c r="Z195" s="98">
        <f>IF(VLOOKUP($D195,$C$5:$AJ$646,24,)=0,0,((VLOOKUP($D195,$C$5:$AJ$646,24,)/VLOOKUP($D195,$C$5:$AJ$646,4,))*$F195))</f>
        <v>0</v>
      </c>
      <c r="AA195" s="98">
        <f>IF(VLOOKUP($D195,$C$5:$AJ$646,25,)=0,0,((VLOOKUP($D195,$C$5:$AJ$646,25,)/VLOOKUP($D195,$C$5:$AJ$646,4,))*$F195))</f>
        <v>0</v>
      </c>
      <c r="AB195" s="98">
        <f>IF(VLOOKUP($D195,$C$5:$AJ$646,26,)=0,0,((VLOOKUP($D195,$C$5:$AJ$646,26,)/VLOOKUP($D195,$C$5:$AJ$646,4,))*$F195))</f>
        <v>0</v>
      </c>
      <c r="AC195" s="98">
        <f>IF(VLOOKUP($D195,$C$5:$AJ$646,27,)=0,0,((VLOOKUP($D195,$C$5:$AJ$646,27,)/VLOOKUP($D195,$C$5:$AJ$646,4,))*$F195))</f>
        <v>0</v>
      </c>
      <c r="AD195" s="98">
        <f>IF(VLOOKUP($D195,$C$5:$AJ$646,28,)=0,0,((VLOOKUP($D195,$C$5:$AJ$646,28,)/VLOOKUP($D195,$C$5:$AJ$646,4,))*$F195))</f>
        <v>0</v>
      </c>
      <c r="AE195" s="98"/>
      <c r="AF195" s="98">
        <f>IF(VLOOKUP($D195,$C$5:$AJ$646,30,)=0,0,((VLOOKUP($D195,$C$5:$AJ$646,30,)/VLOOKUP($D195,$C$5:$AJ$646,4,))*$F195))</f>
        <v>0</v>
      </c>
      <c r="AG195" s="98"/>
      <c r="AH195" s="98">
        <f>IF(VLOOKUP($D195,$C$5:$AJ$646,32,)=0,0,((VLOOKUP($D195,$C$5:$AJ$646,32,)/VLOOKUP($D195,$C$5:$AJ$646,4,))*$F195))</f>
        <v>0</v>
      </c>
      <c r="AI195" s="98"/>
      <c r="AJ195" s="98">
        <f>IF(VLOOKUP($D195,$C$5:$AJ$646,34,)=0,0,((VLOOKUP($D195,$C$5:$AJ$646,34,)/VLOOKUP($D195,$C$5:$AJ$646,4,))*$F195))</f>
        <v>0</v>
      </c>
      <c r="AK195" s="98">
        <f>SUM(H195:AJ195)</f>
        <v>0</v>
      </c>
      <c r="AL195" s="95" t="str">
        <f>IF(ABS(AK195-F195)&lt;1,"ok","err")</f>
        <v>ok</v>
      </c>
    </row>
    <row r="196" spans="1:38" x14ac:dyDescent="0.25">
      <c r="F196" s="97"/>
      <c r="Y196" s="94"/>
      <c r="AK196" s="98"/>
      <c r="AL196" s="95"/>
    </row>
    <row r="197" spans="1:38" x14ac:dyDescent="0.25">
      <c r="B197" s="94" t="s">
        <v>1952</v>
      </c>
      <c r="F197" s="97">
        <f>SUM(F191:F196)</f>
        <v>28090802.114626486</v>
      </c>
      <c r="H197" s="97">
        <f t="shared" ref="H197:M197" si="127">SUM(H191:H196)</f>
        <v>202564.17849985551</v>
      </c>
      <c r="I197" s="97">
        <f t="shared" si="127"/>
        <v>190952.74374389881</v>
      </c>
      <c r="J197" s="97">
        <f t="shared" si="127"/>
        <v>196109.78604794055</v>
      </c>
      <c r="K197" s="97">
        <f t="shared" si="127"/>
        <v>27501175.406334795</v>
      </c>
      <c r="L197" s="97">
        <f t="shared" si="127"/>
        <v>0</v>
      </c>
      <c r="M197" s="97">
        <f t="shared" si="127"/>
        <v>0</v>
      </c>
      <c r="O197" s="97">
        <f>SUM(O191:O196)</f>
        <v>0</v>
      </c>
      <c r="P197" s="97">
        <f>SUM(P191:P196)</f>
        <v>0</v>
      </c>
      <c r="Q197" s="97">
        <f>SUM(Q191:Q196)</f>
        <v>0</v>
      </c>
      <c r="S197" s="97">
        <f t="shared" ref="S197:AD197" si="128">SUM(S191:S196)</f>
        <v>0</v>
      </c>
      <c r="T197" s="97">
        <f t="shared" si="128"/>
        <v>0</v>
      </c>
      <c r="U197" s="97">
        <f t="shared" si="128"/>
        <v>0</v>
      </c>
      <c r="V197" s="97">
        <f t="shared" si="128"/>
        <v>0</v>
      </c>
      <c r="W197" s="97">
        <f t="shared" si="128"/>
        <v>0</v>
      </c>
      <c r="X197" s="97">
        <f t="shared" si="128"/>
        <v>0</v>
      </c>
      <c r="Y197" s="97">
        <f t="shared" si="128"/>
        <v>0</v>
      </c>
      <c r="Z197" s="97">
        <f t="shared" si="128"/>
        <v>0</v>
      </c>
      <c r="AA197" s="97">
        <f t="shared" si="128"/>
        <v>0</v>
      </c>
      <c r="AB197" s="97">
        <f t="shared" si="128"/>
        <v>0</v>
      </c>
      <c r="AC197" s="97">
        <f t="shared" si="128"/>
        <v>0</v>
      </c>
      <c r="AD197" s="97">
        <f t="shared" si="128"/>
        <v>0</v>
      </c>
      <c r="AF197" s="97">
        <f>SUM(AF191:AF196)</f>
        <v>0</v>
      </c>
      <c r="AH197" s="97">
        <f>SUM(AH191:AH196)</f>
        <v>0</v>
      </c>
      <c r="AJ197" s="97">
        <f>SUM(AJ191:AJ196)</f>
        <v>0</v>
      </c>
      <c r="AK197" s="98">
        <f>SUM(H197:AJ197)</f>
        <v>28090802.11462649</v>
      </c>
      <c r="AL197" s="95" t="str">
        <f>IF(ABS(AK197-F197)&lt;1,"ok","err")</f>
        <v>ok</v>
      </c>
    </row>
    <row r="198" spans="1:38" x14ac:dyDescent="0.25">
      <c r="A198" s="15" t="s">
        <v>379</v>
      </c>
      <c r="F198" s="97"/>
      <c r="Y198" s="94"/>
      <c r="AL198" s="95"/>
    </row>
    <row r="199" spans="1:38" x14ac:dyDescent="0.25">
      <c r="F199" s="97"/>
      <c r="Y199" s="94"/>
      <c r="AL199" s="95"/>
    </row>
    <row r="200" spans="1:38" x14ac:dyDescent="0.25">
      <c r="A200" s="16" t="s">
        <v>1953</v>
      </c>
      <c r="F200" s="97"/>
      <c r="Y200" s="94"/>
      <c r="AL200" s="95"/>
    </row>
    <row r="201" spans="1:38" x14ac:dyDescent="0.25">
      <c r="A201" s="94">
        <v>551</v>
      </c>
      <c r="B201" s="94" t="s">
        <v>726</v>
      </c>
      <c r="C201" s="94" t="s">
        <v>1954</v>
      </c>
      <c r="D201" s="94" t="s">
        <v>885</v>
      </c>
      <c r="F201" s="97">
        <f>'Jurisdictional Study'!F978</f>
        <v>42784.491552044419</v>
      </c>
      <c r="H201" s="98">
        <f>IF(VLOOKUP($D201,$C$5:$AJ$646,6,)=0,0,((VLOOKUP($D201,$C$5:$AJ$646,6,)/VLOOKUP($D201,$C$5:$AJ$646,4,))*$F201))</f>
        <v>14698.461351731068</v>
      </c>
      <c r="I201" s="98">
        <f>IF(VLOOKUP($D201,$C$5:$AJ$646,7,)=0,0,((VLOOKUP($D201,$C$5:$AJ$646,7,)/VLOOKUP($D201,$C$5:$AJ$646,4,))*$F201))</f>
        <v>13855.912455561363</v>
      </c>
      <c r="J201" s="98">
        <f>IF(VLOOKUP($D201,$C$5:$AJ$646,8,)=0,0,((VLOOKUP($D201,$C$5:$AJ$646,8,)/VLOOKUP($D201,$C$5:$AJ$646,4,))*$F201))</f>
        <v>14230.117744751986</v>
      </c>
      <c r="K201" s="98">
        <f>IF(VLOOKUP($D201,$C$5:$AJ$646,9,)=0,0,((VLOOKUP($D201,$C$5:$AJ$646,9,)/VLOOKUP($D201,$C$5:$AJ$646,4,))*$F201))</f>
        <v>0</v>
      </c>
      <c r="L201" s="98">
        <f>IF(VLOOKUP($D201,$C$5:$AJ$646,10,)=0,0,((VLOOKUP($D201,$C$5:$AJ$646,10,)/VLOOKUP($D201,$C$5:$AJ$646,4,))*$F201))</f>
        <v>0</v>
      </c>
      <c r="M201" s="98">
        <f>IF(VLOOKUP($D201,$C$5:$AJ$646,11,)=0,0,((VLOOKUP($D201,$C$5:$AJ$646,11,)/VLOOKUP($D201,$C$5:$AJ$646,4,))*$F201))</f>
        <v>0</v>
      </c>
      <c r="N201" s="98"/>
      <c r="O201" s="98">
        <f>IF(VLOOKUP($D201,$C$5:$AJ$646,13,)=0,0,((VLOOKUP($D201,$C$5:$AJ$646,13,)/VLOOKUP($D201,$C$5:$AJ$646,4,))*$F201))</f>
        <v>0</v>
      </c>
      <c r="P201" s="98">
        <f>IF(VLOOKUP($D201,$C$5:$AJ$646,14,)=0,0,((VLOOKUP($D201,$C$5:$AJ$646,14,)/VLOOKUP($D201,$C$5:$AJ$646,4,))*$F201))</f>
        <v>0</v>
      </c>
      <c r="Q201" s="98">
        <f>IF(VLOOKUP($D201,$C$5:$AJ$646,15,)=0,0,((VLOOKUP($D201,$C$5:$AJ$646,15,)/VLOOKUP($D201,$C$5:$AJ$646,4,))*$F201))</f>
        <v>0</v>
      </c>
      <c r="R201" s="98"/>
      <c r="S201" s="98">
        <f>IF(VLOOKUP($D201,$C$5:$AJ$646,17,)=0,0,((VLOOKUP($D201,$C$5:$AJ$646,17,)/VLOOKUP($D201,$C$5:$AJ$646,4,))*$F201))</f>
        <v>0</v>
      </c>
      <c r="T201" s="98">
        <f>IF(VLOOKUP($D201,$C$5:$AJ$646,18,)=0,0,((VLOOKUP($D201,$C$5:$AJ$646,18,)/VLOOKUP($D201,$C$5:$AJ$646,4,))*$F201))</f>
        <v>0</v>
      </c>
      <c r="U201" s="98">
        <f>IF(VLOOKUP($D201,$C$5:$AJ$646,19,)=0,0,((VLOOKUP($D201,$C$5:$AJ$646,19,)/VLOOKUP($D201,$C$5:$AJ$646,4,))*$F201))</f>
        <v>0</v>
      </c>
      <c r="V201" s="98">
        <f>IF(VLOOKUP($D201,$C$5:$AJ$646,20,)=0,0,((VLOOKUP($D201,$C$5:$AJ$646,20,)/VLOOKUP($D201,$C$5:$AJ$646,4,))*$F201))</f>
        <v>0</v>
      </c>
      <c r="W201" s="98">
        <f>IF(VLOOKUP($D201,$C$5:$AJ$646,21,)=0,0,((VLOOKUP($D201,$C$5:$AJ$646,21,)/VLOOKUP($D201,$C$5:$AJ$646,4,))*$F201))</f>
        <v>0</v>
      </c>
      <c r="X201" s="98">
        <f>IF(VLOOKUP($D201,$C$5:$AJ$646,22,)=0,0,((VLOOKUP($D201,$C$5:$AJ$646,22,)/VLOOKUP($D201,$C$5:$AJ$646,4,))*$F201))</f>
        <v>0</v>
      </c>
      <c r="Y201" s="98">
        <f>IF(VLOOKUP($D201,$C$5:$AJ$646,23,)=0,0,((VLOOKUP($D201,$C$5:$AJ$646,23,)/VLOOKUP($D201,$C$5:$AJ$646,4,))*$F201))</f>
        <v>0</v>
      </c>
      <c r="Z201" s="98">
        <f>IF(VLOOKUP($D201,$C$5:$AJ$646,24,)=0,0,((VLOOKUP($D201,$C$5:$AJ$646,24,)/VLOOKUP($D201,$C$5:$AJ$646,4,))*$F201))</f>
        <v>0</v>
      </c>
      <c r="AA201" s="98">
        <f>IF(VLOOKUP($D201,$C$5:$AJ$646,25,)=0,0,((VLOOKUP($D201,$C$5:$AJ$646,25,)/VLOOKUP($D201,$C$5:$AJ$646,4,))*$F201))</f>
        <v>0</v>
      </c>
      <c r="AB201" s="98">
        <f>IF(VLOOKUP($D201,$C$5:$AJ$646,26,)=0,0,((VLOOKUP($D201,$C$5:$AJ$646,26,)/VLOOKUP($D201,$C$5:$AJ$646,4,))*$F201))</f>
        <v>0</v>
      </c>
      <c r="AC201" s="98">
        <f>IF(VLOOKUP($D201,$C$5:$AJ$646,27,)=0,0,((VLOOKUP($D201,$C$5:$AJ$646,27,)/VLOOKUP($D201,$C$5:$AJ$646,4,))*$F201))</f>
        <v>0</v>
      </c>
      <c r="AD201" s="98">
        <f>IF(VLOOKUP($D201,$C$5:$AJ$646,28,)=0,0,((VLOOKUP($D201,$C$5:$AJ$646,28,)/VLOOKUP($D201,$C$5:$AJ$646,4,))*$F201))</f>
        <v>0</v>
      </c>
      <c r="AE201" s="98"/>
      <c r="AF201" s="98">
        <f>IF(VLOOKUP($D201,$C$5:$AJ$646,30,)=0,0,((VLOOKUP($D201,$C$5:$AJ$646,30,)/VLOOKUP($D201,$C$5:$AJ$646,4,))*$F201))</f>
        <v>0</v>
      </c>
      <c r="AG201" s="98"/>
      <c r="AH201" s="98">
        <f>IF(VLOOKUP($D201,$C$5:$AJ$646,32,)=0,0,((VLOOKUP($D201,$C$5:$AJ$646,32,)/VLOOKUP($D201,$C$5:$AJ$646,4,))*$F201))</f>
        <v>0</v>
      </c>
      <c r="AI201" s="98"/>
      <c r="AJ201" s="98">
        <f>IF(VLOOKUP($D201,$C$5:$AJ$646,34,)=0,0,((VLOOKUP($D201,$C$5:$AJ$646,34,)/VLOOKUP($D201,$C$5:$AJ$646,4,))*$F201))</f>
        <v>0</v>
      </c>
      <c r="AK201" s="98">
        <f>SUM(H201:AJ201)</f>
        <v>42784.491552044419</v>
      </c>
      <c r="AL201" s="95" t="str">
        <f>IF(ABS(AK201-F201)&lt;1,"ok","err")</f>
        <v>ok</v>
      </c>
    </row>
    <row r="202" spans="1:38" x14ac:dyDescent="0.25">
      <c r="A202" s="94">
        <v>552</v>
      </c>
      <c r="B202" s="94" t="s">
        <v>725</v>
      </c>
      <c r="C202" s="94" t="s">
        <v>1955</v>
      </c>
      <c r="D202" s="94" t="s">
        <v>885</v>
      </c>
      <c r="F202" s="98">
        <f>'Jurisdictional Study'!F979</f>
        <v>228538.71034942562</v>
      </c>
      <c r="H202" s="98">
        <f>IF(VLOOKUP($D202,$C$5:$AJ$646,6,)=0,0,((VLOOKUP($D202,$C$5:$AJ$646,6,)/VLOOKUP($D202,$C$5:$AJ$646,4,))*$F202))</f>
        <v>78513.6688456212</v>
      </c>
      <c r="I202" s="98">
        <f>IF(VLOOKUP($D202,$C$5:$AJ$646,7,)=0,0,((VLOOKUP($D202,$C$5:$AJ$646,7,)/VLOOKUP($D202,$C$5:$AJ$646,4,))*$F202))</f>
        <v>74013.08858506754</v>
      </c>
      <c r="J202" s="98">
        <f>IF(VLOOKUP($D202,$C$5:$AJ$646,8,)=0,0,((VLOOKUP($D202,$C$5:$AJ$646,8,)/VLOOKUP($D202,$C$5:$AJ$646,4,))*$F202))</f>
        <v>76011.952918736875</v>
      </c>
      <c r="K202" s="98">
        <f>IF(VLOOKUP($D202,$C$5:$AJ$646,9,)=0,0,((VLOOKUP($D202,$C$5:$AJ$646,9,)/VLOOKUP($D202,$C$5:$AJ$646,4,))*$F202))</f>
        <v>0</v>
      </c>
      <c r="L202" s="98">
        <f>IF(VLOOKUP($D202,$C$5:$AJ$646,10,)=0,0,((VLOOKUP($D202,$C$5:$AJ$646,10,)/VLOOKUP($D202,$C$5:$AJ$646,4,))*$F202))</f>
        <v>0</v>
      </c>
      <c r="M202" s="98">
        <f>IF(VLOOKUP($D202,$C$5:$AJ$646,11,)=0,0,((VLOOKUP($D202,$C$5:$AJ$646,11,)/VLOOKUP($D202,$C$5:$AJ$646,4,))*$F202))</f>
        <v>0</v>
      </c>
      <c r="N202" s="98"/>
      <c r="O202" s="98">
        <f>IF(VLOOKUP($D202,$C$5:$AJ$646,13,)=0,0,((VLOOKUP($D202,$C$5:$AJ$646,13,)/VLOOKUP($D202,$C$5:$AJ$646,4,))*$F202))</f>
        <v>0</v>
      </c>
      <c r="P202" s="98">
        <f>IF(VLOOKUP($D202,$C$5:$AJ$646,14,)=0,0,((VLOOKUP($D202,$C$5:$AJ$646,14,)/VLOOKUP($D202,$C$5:$AJ$646,4,))*$F202))</f>
        <v>0</v>
      </c>
      <c r="Q202" s="98">
        <f>IF(VLOOKUP($D202,$C$5:$AJ$646,15,)=0,0,((VLOOKUP($D202,$C$5:$AJ$646,15,)/VLOOKUP($D202,$C$5:$AJ$646,4,))*$F202))</f>
        <v>0</v>
      </c>
      <c r="R202" s="98"/>
      <c r="S202" s="98">
        <f>IF(VLOOKUP($D202,$C$5:$AJ$646,17,)=0,0,((VLOOKUP($D202,$C$5:$AJ$646,17,)/VLOOKUP($D202,$C$5:$AJ$646,4,))*$F202))</f>
        <v>0</v>
      </c>
      <c r="T202" s="98">
        <f>IF(VLOOKUP($D202,$C$5:$AJ$646,18,)=0,0,((VLOOKUP($D202,$C$5:$AJ$646,18,)/VLOOKUP($D202,$C$5:$AJ$646,4,))*$F202))</f>
        <v>0</v>
      </c>
      <c r="U202" s="98">
        <f>IF(VLOOKUP($D202,$C$5:$AJ$646,19,)=0,0,((VLOOKUP($D202,$C$5:$AJ$646,19,)/VLOOKUP($D202,$C$5:$AJ$646,4,))*$F202))</f>
        <v>0</v>
      </c>
      <c r="V202" s="98">
        <f>IF(VLOOKUP($D202,$C$5:$AJ$646,20,)=0,0,((VLOOKUP($D202,$C$5:$AJ$646,20,)/VLOOKUP($D202,$C$5:$AJ$646,4,))*$F202))</f>
        <v>0</v>
      </c>
      <c r="W202" s="98">
        <f>IF(VLOOKUP($D202,$C$5:$AJ$646,21,)=0,0,((VLOOKUP($D202,$C$5:$AJ$646,21,)/VLOOKUP($D202,$C$5:$AJ$646,4,))*$F202))</f>
        <v>0</v>
      </c>
      <c r="X202" s="98">
        <f>IF(VLOOKUP($D202,$C$5:$AJ$646,22,)=0,0,((VLOOKUP($D202,$C$5:$AJ$646,22,)/VLOOKUP($D202,$C$5:$AJ$646,4,))*$F202))</f>
        <v>0</v>
      </c>
      <c r="Y202" s="98">
        <f>IF(VLOOKUP($D202,$C$5:$AJ$646,23,)=0,0,((VLOOKUP($D202,$C$5:$AJ$646,23,)/VLOOKUP($D202,$C$5:$AJ$646,4,))*$F202))</f>
        <v>0</v>
      </c>
      <c r="Z202" s="98">
        <f>IF(VLOOKUP($D202,$C$5:$AJ$646,24,)=0,0,((VLOOKUP($D202,$C$5:$AJ$646,24,)/VLOOKUP($D202,$C$5:$AJ$646,4,))*$F202))</f>
        <v>0</v>
      </c>
      <c r="AA202" s="98">
        <f>IF(VLOOKUP($D202,$C$5:$AJ$646,25,)=0,0,((VLOOKUP($D202,$C$5:$AJ$646,25,)/VLOOKUP($D202,$C$5:$AJ$646,4,))*$F202))</f>
        <v>0</v>
      </c>
      <c r="AB202" s="98">
        <f>IF(VLOOKUP($D202,$C$5:$AJ$646,26,)=0,0,((VLOOKUP($D202,$C$5:$AJ$646,26,)/VLOOKUP($D202,$C$5:$AJ$646,4,))*$F202))</f>
        <v>0</v>
      </c>
      <c r="AC202" s="98">
        <f>IF(VLOOKUP($D202,$C$5:$AJ$646,27,)=0,0,((VLOOKUP($D202,$C$5:$AJ$646,27,)/VLOOKUP($D202,$C$5:$AJ$646,4,))*$F202))</f>
        <v>0</v>
      </c>
      <c r="AD202" s="98">
        <f>IF(VLOOKUP($D202,$C$5:$AJ$646,28,)=0,0,((VLOOKUP($D202,$C$5:$AJ$646,28,)/VLOOKUP($D202,$C$5:$AJ$646,4,))*$F202))</f>
        <v>0</v>
      </c>
      <c r="AE202" s="98"/>
      <c r="AF202" s="98">
        <f>IF(VLOOKUP($D202,$C$5:$AJ$646,30,)=0,0,((VLOOKUP($D202,$C$5:$AJ$646,30,)/VLOOKUP($D202,$C$5:$AJ$646,4,))*$F202))</f>
        <v>0</v>
      </c>
      <c r="AG202" s="98"/>
      <c r="AH202" s="98">
        <f>IF(VLOOKUP($D202,$C$5:$AJ$646,32,)=0,0,((VLOOKUP($D202,$C$5:$AJ$646,32,)/VLOOKUP($D202,$C$5:$AJ$646,4,))*$F202))</f>
        <v>0</v>
      </c>
      <c r="AI202" s="98"/>
      <c r="AJ202" s="98">
        <f>IF(VLOOKUP($D202,$C$5:$AJ$646,34,)=0,0,((VLOOKUP($D202,$C$5:$AJ$646,34,)/VLOOKUP($D202,$C$5:$AJ$646,4,))*$F202))</f>
        <v>0</v>
      </c>
      <c r="AK202" s="98">
        <f>SUM(H202:AJ202)</f>
        <v>228538.71034942562</v>
      </c>
      <c r="AL202" s="95" t="str">
        <f>IF(ABS(AK202-F202)&lt;1,"ok","err")</f>
        <v>ok</v>
      </c>
    </row>
    <row r="203" spans="1:38" x14ac:dyDescent="0.25">
      <c r="A203" s="94">
        <v>553</v>
      </c>
      <c r="B203" s="94" t="s">
        <v>1956</v>
      </c>
      <c r="C203" s="94" t="s">
        <v>1957</v>
      </c>
      <c r="D203" s="94" t="s">
        <v>885</v>
      </c>
      <c r="F203" s="98">
        <f>'Jurisdictional Study'!F980</f>
        <v>1363702.0598551149</v>
      </c>
      <c r="H203" s="98">
        <f>IF(VLOOKUP($D203,$C$5:$AJ$646,6,)=0,0,((VLOOKUP($D203,$C$5:$AJ$646,6,)/VLOOKUP($D203,$C$5:$AJ$646,4,))*$F203))</f>
        <v>468495.03862103634</v>
      </c>
      <c r="I203" s="98">
        <f>IF(VLOOKUP($D203,$C$5:$AJ$646,7,)=0,0,((VLOOKUP($D203,$C$5:$AJ$646,7,)/VLOOKUP($D203,$C$5:$AJ$646,4,))*$F203))</f>
        <v>441639.84825754649</v>
      </c>
      <c r="J203" s="98">
        <f>IF(VLOOKUP($D203,$C$5:$AJ$646,8,)=0,0,((VLOOKUP($D203,$C$5:$AJ$646,8,)/VLOOKUP($D203,$C$5:$AJ$646,4,))*$F203))</f>
        <v>453567.17297653208</v>
      </c>
      <c r="K203" s="98">
        <f>IF(VLOOKUP($D203,$C$5:$AJ$646,9,)=0,0,((VLOOKUP($D203,$C$5:$AJ$646,9,)/VLOOKUP($D203,$C$5:$AJ$646,4,))*$F203))</f>
        <v>0</v>
      </c>
      <c r="L203" s="98">
        <f>IF(VLOOKUP($D203,$C$5:$AJ$646,10,)=0,0,((VLOOKUP($D203,$C$5:$AJ$646,10,)/VLOOKUP($D203,$C$5:$AJ$646,4,))*$F203))</f>
        <v>0</v>
      </c>
      <c r="M203" s="98">
        <f>IF(VLOOKUP($D203,$C$5:$AJ$646,11,)=0,0,((VLOOKUP($D203,$C$5:$AJ$646,11,)/VLOOKUP($D203,$C$5:$AJ$646,4,))*$F203))</f>
        <v>0</v>
      </c>
      <c r="N203" s="98"/>
      <c r="O203" s="98">
        <f>IF(VLOOKUP($D203,$C$5:$AJ$646,13,)=0,0,((VLOOKUP($D203,$C$5:$AJ$646,13,)/VLOOKUP($D203,$C$5:$AJ$646,4,))*$F203))</f>
        <v>0</v>
      </c>
      <c r="P203" s="98">
        <f>IF(VLOOKUP($D203,$C$5:$AJ$646,14,)=0,0,((VLOOKUP($D203,$C$5:$AJ$646,14,)/VLOOKUP($D203,$C$5:$AJ$646,4,))*$F203))</f>
        <v>0</v>
      </c>
      <c r="Q203" s="98">
        <f>IF(VLOOKUP($D203,$C$5:$AJ$646,15,)=0,0,((VLOOKUP($D203,$C$5:$AJ$646,15,)/VLOOKUP($D203,$C$5:$AJ$646,4,))*$F203))</f>
        <v>0</v>
      </c>
      <c r="R203" s="98"/>
      <c r="S203" s="98">
        <f>IF(VLOOKUP($D203,$C$5:$AJ$646,17,)=0,0,((VLOOKUP($D203,$C$5:$AJ$646,17,)/VLOOKUP($D203,$C$5:$AJ$646,4,))*$F203))</f>
        <v>0</v>
      </c>
      <c r="T203" s="98">
        <f>IF(VLOOKUP($D203,$C$5:$AJ$646,18,)=0,0,((VLOOKUP($D203,$C$5:$AJ$646,18,)/VLOOKUP($D203,$C$5:$AJ$646,4,))*$F203))</f>
        <v>0</v>
      </c>
      <c r="U203" s="98">
        <f>IF(VLOOKUP($D203,$C$5:$AJ$646,19,)=0,0,((VLOOKUP($D203,$C$5:$AJ$646,19,)/VLOOKUP($D203,$C$5:$AJ$646,4,))*$F203))</f>
        <v>0</v>
      </c>
      <c r="V203" s="98">
        <f>IF(VLOOKUP($D203,$C$5:$AJ$646,20,)=0,0,((VLOOKUP($D203,$C$5:$AJ$646,20,)/VLOOKUP($D203,$C$5:$AJ$646,4,))*$F203))</f>
        <v>0</v>
      </c>
      <c r="W203" s="98">
        <f>IF(VLOOKUP($D203,$C$5:$AJ$646,21,)=0,0,((VLOOKUP($D203,$C$5:$AJ$646,21,)/VLOOKUP($D203,$C$5:$AJ$646,4,))*$F203))</f>
        <v>0</v>
      </c>
      <c r="X203" s="98">
        <f>IF(VLOOKUP($D203,$C$5:$AJ$646,22,)=0,0,((VLOOKUP($D203,$C$5:$AJ$646,22,)/VLOOKUP($D203,$C$5:$AJ$646,4,))*$F203))</f>
        <v>0</v>
      </c>
      <c r="Y203" s="98">
        <f>IF(VLOOKUP($D203,$C$5:$AJ$646,23,)=0,0,((VLOOKUP($D203,$C$5:$AJ$646,23,)/VLOOKUP($D203,$C$5:$AJ$646,4,))*$F203))</f>
        <v>0</v>
      </c>
      <c r="Z203" s="98">
        <f>IF(VLOOKUP($D203,$C$5:$AJ$646,24,)=0,0,((VLOOKUP($D203,$C$5:$AJ$646,24,)/VLOOKUP($D203,$C$5:$AJ$646,4,))*$F203))</f>
        <v>0</v>
      </c>
      <c r="AA203" s="98">
        <f>IF(VLOOKUP($D203,$C$5:$AJ$646,25,)=0,0,((VLOOKUP($D203,$C$5:$AJ$646,25,)/VLOOKUP($D203,$C$5:$AJ$646,4,))*$F203))</f>
        <v>0</v>
      </c>
      <c r="AB203" s="98">
        <f>IF(VLOOKUP($D203,$C$5:$AJ$646,26,)=0,0,((VLOOKUP($D203,$C$5:$AJ$646,26,)/VLOOKUP($D203,$C$5:$AJ$646,4,))*$F203))</f>
        <v>0</v>
      </c>
      <c r="AC203" s="98">
        <f>IF(VLOOKUP($D203,$C$5:$AJ$646,27,)=0,0,((VLOOKUP($D203,$C$5:$AJ$646,27,)/VLOOKUP($D203,$C$5:$AJ$646,4,))*$F203))</f>
        <v>0</v>
      </c>
      <c r="AD203" s="98">
        <f>IF(VLOOKUP($D203,$C$5:$AJ$646,28,)=0,0,((VLOOKUP($D203,$C$5:$AJ$646,28,)/VLOOKUP($D203,$C$5:$AJ$646,4,))*$F203))</f>
        <v>0</v>
      </c>
      <c r="AE203" s="98"/>
      <c r="AF203" s="98">
        <f>IF(VLOOKUP($D203,$C$5:$AJ$646,30,)=0,0,((VLOOKUP($D203,$C$5:$AJ$646,30,)/VLOOKUP($D203,$C$5:$AJ$646,4,))*$F203))</f>
        <v>0</v>
      </c>
      <c r="AG203" s="98"/>
      <c r="AH203" s="98">
        <f>IF(VLOOKUP($D203,$C$5:$AJ$646,32,)=0,0,((VLOOKUP($D203,$C$5:$AJ$646,32,)/VLOOKUP($D203,$C$5:$AJ$646,4,))*$F203))</f>
        <v>0</v>
      </c>
      <c r="AI203" s="98"/>
      <c r="AJ203" s="98">
        <f>IF(VLOOKUP($D203,$C$5:$AJ$646,34,)=0,0,((VLOOKUP($D203,$C$5:$AJ$646,34,)/VLOOKUP($D203,$C$5:$AJ$646,4,))*$F203))</f>
        <v>0</v>
      </c>
      <c r="AK203" s="98">
        <f>SUM(H203:AJ203)</f>
        <v>1363702.0598551149</v>
      </c>
      <c r="AL203" s="95" t="str">
        <f>IF(ABS(AK203-F203)&lt;1,"ok","err")</f>
        <v>ok</v>
      </c>
    </row>
    <row r="204" spans="1:38" x14ac:dyDescent="0.25">
      <c r="A204" s="94">
        <v>554</v>
      </c>
      <c r="B204" s="94" t="s">
        <v>1958</v>
      </c>
      <c r="C204" s="94" t="s">
        <v>1959</v>
      </c>
      <c r="D204" s="94" t="s">
        <v>885</v>
      </c>
      <c r="F204" s="98">
        <f>'Jurisdictional Study'!F981</f>
        <v>196770.97029935883</v>
      </c>
      <c r="H204" s="98">
        <f>IF(VLOOKUP($D204,$C$5:$AJ$646,6,)=0,0,((VLOOKUP($D204,$C$5:$AJ$646,6,)/VLOOKUP($D204,$C$5:$AJ$646,4,))*$F204))</f>
        <v>67599.973662642369</v>
      </c>
      <c r="I204" s="98">
        <f>IF(VLOOKUP($D204,$C$5:$AJ$646,7,)=0,0,((VLOOKUP($D204,$C$5:$AJ$646,7,)/VLOOKUP($D204,$C$5:$AJ$646,4,))*$F204))</f>
        <v>63724.990980604533</v>
      </c>
      <c r="J204" s="98">
        <f>IF(VLOOKUP($D204,$C$5:$AJ$646,8,)=0,0,((VLOOKUP($D204,$C$5:$AJ$646,8,)/VLOOKUP($D204,$C$5:$AJ$646,4,))*$F204))</f>
        <v>65446.005656111935</v>
      </c>
      <c r="K204" s="98">
        <f>IF(VLOOKUP($D204,$C$5:$AJ$646,9,)=0,0,((VLOOKUP($D204,$C$5:$AJ$646,9,)/VLOOKUP($D204,$C$5:$AJ$646,4,))*$F204))</f>
        <v>0</v>
      </c>
      <c r="L204" s="98">
        <f>IF(VLOOKUP($D204,$C$5:$AJ$646,10,)=0,0,((VLOOKUP($D204,$C$5:$AJ$646,10,)/VLOOKUP($D204,$C$5:$AJ$646,4,))*$F204))</f>
        <v>0</v>
      </c>
      <c r="M204" s="98">
        <f>IF(VLOOKUP($D204,$C$5:$AJ$646,11,)=0,0,((VLOOKUP($D204,$C$5:$AJ$646,11,)/VLOOKUP($D204,$C$5:$AJ$646,4,))*$F204))</f>
        <v>0</v>
      </c>
      <c r="N204" s="98"/>
      <c r="O204" s="98">
        <f>IF(VLOOKUP($D204,$C$5:$AJ$646,13,)=0,0,((VLOOKUP($D204,$C$5:$AJ$646,13,)/VLOOKUP($D204,$C$5:$AJ$646,4,))*$F204))</f>
        <v>0</v>
      </c>
      <c r="P204" s="98">
        <f>IF(VLOOKUP($D204,$C$5:$AJ$646,14,)=0,0,((VLOOKUP($D204,$C$5:$AJ$646,14,)/VLOOKUP($D204,$C$5:$AJ$646,4,))*$F204))</f>
        <v>0</v>
      </c>
      <c r="Q204" s="98">
        <f>IF(VLOOKUP($D204,$C$5:$AJ$646,15,)=0,0,((VLOOKUP($D204,$C$5:$AJ$646,15,)/VLOOKUP($D204,$C$5:$AJ$646,4,))*$F204))</f>
        <v>0</v>
      </c>
      <c r="R204" s="98"/>
      <c r="S204" s="98">
        <f>IF(VLOOKUP($D204,$C$5:$AJ$646,17,)=0,0,((VLOOKUP($D204,$C$5:$AJ$646,17,)/VLOOKUP($D204,$C$5:$AJ$646,4,))*$F204))</f>
        <v>0</v>
      </c>
      <c r="T204" s="98">
        <f>IF(VLOOKUP($D204,$C$5:$AJ$646,18,)=0,0,((VLOOKUP($D204,$C$5:$AJ$646,18,)/VLOOKUP($D204,$C$5:$AJ$646,4,))*$F204))</f>
        <v>0</v>
      </c>
      <c r="U204" s="98">
        <f>IF(VLOOKUP($D204,$C$5:$AJ$646,19,)=0,0,((VLOOKUP($D204,$C$5:$AJ$646,19,)/VLOOKUP($D204,$C$5:$AJ$646,4,))*$F204))</f>
        <v>0</v>
      </c>
      <c r="V204" s="98">
        <f>IF(VLOOKUP($D204,$C$5:$AJ$646,20,)=0,0,((VLOOKUP($D204,$C$5:$AJ$646,20,)/VLOOKUP($D204,$C$5:$AJ$646,4,))*$F204))</f>
        <v>0</v>
      </c>
      <c r="W204" s="98">
        <f>IF(VLOOKUP($D204,$C$5:$AJ$646,21,)=0,0,((VLOOKUP($D204,$C$5:$AJ$646,21,)/VLOOKUP($D204,$C$5:$AJ$646,4,))*$F204))</f>
        <v>0</v>
      </c>
      <c r="X204" s="98">
        <f>IF(VLOOKUP($D204,$C$5:$AJ$646,22,)=0,0,((VLOOKUP($D204,$C$5:$AJ$646,22,)/VLOOKUP($D204,$C$5:$AJ$646,4,))*$F204))</f>
        <v>0</v>
      </c>
      <c r="Y204" s="98">
        <f>IF(VLOOKUP($D204,$C$5:$AJ$646,23,)=0,0,((VLOOKUP($D204,$C$5:$AJ$646,23,)/VLOOKUP($D204,$C$5:$AJ$646,4,))*$F204))</f>
        <v>0</v>
      </c>
      <c r="Z204" s="98">
        <f>IF(VLOOKUP($D204,$C$5:$AJ$646,24,)=0,0,((VLOOKUP($D204,$C$5:$AJ$646,24,)/VLOOKUP($D204,$C$5:$AJ$646,4,))*$F204))</f>
        <v>0</v>
      </c>
      <c r="AA204" s="98">
        <f>IF(VLOOKUP($D204,$C$5:$AJ$646,25,)=0,0,((VLOOKUP($D204,$C$5:$AJ$646,25,)/VLOOKUP($D204,$C$5:$AJ$646,4,))*$F204))</f>
        <v>0</v>
      </c>
      <c r="AB204" s="98">
        <f>IF(VLOOKUP($D204,$C$5:$AJ$646,26,)=0,0,((VLOOKUP($D204,$C$5:$AJ$646,26,)/VLOOKUP($D204,$C$5:$AJ$646,4,))*$F204))</f>
        <v>0</v>
      </c>
      <c r="AC204" s="98">
        <f>IF(VLOOKUP($D204,$C$5:$AJ$646,27,)=0,0,((VLOOKUP($D204,$C$5:$AJ$646,27,)/VLOOKUP($D204,$C$5:$AJ$646,4,))*$F204))</f>
        <v>0</v>
      </c>
      <c r="AD204" s="98">
        <f>IF(VLOOKUP($D204,$C$5:$AJ$646,28,)=0,0,((VLOOKUP($D204,$C$5:$AJ$646,28,)/VLOOKUP($D204,$C$5:$AJ$646,4,))*$F204))</f>
        <v>0</v>
      </c>
      <c r="AE204" s="98"/>
      <c r="AF204" s="98">
        <f>IF(VLOOKUP($D204,$C$5:$AJ$646,30,)=0,0,((VLOOKUP($D204,$C$5:$AJ$646,30,)/VLOOKUP($D204,$C$5:$AJ$646,4,))*$F204))</f>
        <v>0</v>
      </c>
      <c r="AG204" s="98"/>
      <c r="AH204" s="98">
        <f>IF(VLOOKUP($D204,$C$5:$AJ$646,32,)=0,0,((VLOOKUP($D204,$C$5:$AJ$646,32,)/VLOOKUP($D204,$C$5:$AJ$646,4,))*$F204))</f>
        <v>0</v>
      </c>
      <c r="AI204" s="98"/>
      <c r="AJ204" s="98">
        <f>IF(VLOOKUP($D204,$C$5:$AJ$646,34,)=0,0,((VLOOKUP($D204,$C$5:$AJ$646,34,)/VLOOKUP($D204,$C$5:$AJ$646,4,))*$F204))</f>
        <v>0</v>
      </c>
      <c r="AK204" s="98">
        <f>SUM(H204:AJ204)</f>
        <v>196770.97029935883</v>
      </c>
      <c r="AL204" s="95" t="str">
        <f>IF(ABS(AK204-F204)&lt;1,"ok","err")</f>
        <v>ok</v>
      </c>
    </row>
    <row r="205" spans="1:38" x14ac:dyDescent="0.25">
      <c r="F205" s="97"/>
      <c r="Y205" s="94"/>
      <c r="AL205" s="95"/>
    </row>
    <row r="206" spans="1:38" x14ac:dyDescent="0.25">
      <c r="B206" s="94" t="s">
        <v>1961</v>
      </c>
      <c r="F206" s="97">
        <f>SUM(F201:F205)</f>
        <v>1831796.2320559439</v>
      </c>
      <c r="H206" s="97">
        <f t="shared" ref="H206:M206" si="129">SUM(H201:H205)</f>
        <v>629307.14248103101</v>
      </c>
      <c r="I206" s="97">
        <f t="shared" si="129"/>
        <v>593233.84027877997</v>
      </c>
      <c r="J206" s="97">
        <f t="shared" si="129"/>
        <v>609255.24929613294</v>
      </c>
      <c r="K206" s="97">
        <f t="shared" si="129"/>
        <v>0</v>
      </c>
      <c r="L206" s="97">
        <f t="shared" si="129"/>
        <v>0</v>
      </c>
      <c r="M206" s="97">
        <f t="shared" si="129"/>
        <v>0</v>
      </c>
      <c r="O206" s="97">
        <f>SUM(O201:O205)</f>
        <v>0</v>
      </c>
      <c r="P206" s="97">
        <f>SUM(P201:P205)</f>
        <v>0</v>
      </c>
      <c r="Q206" s="97">
        <f>SUM(Q201:Q205)</f>
        <v>0</v>
      </c>
      <c r="S206" s="97">
        <f t="shared" ref="S206:AD206" si="130">SUM(S201:S205)</f>
        <v>0</v>
      </c>
      <c r="T206" s="97">
        <f t="shared" si="130"/>
        <v>0</v>
      </c>
      <c r="U206" s="97">
        <f t="shared" si="130"/>
        <v>0</v>
      </c>
      <c r="V206" s="97">
        <f t="shared" si="130"/>
        <v>0</v>
      </c>
      <c r="W206" s="97">
        <f t="shared" si="130"/>
        <v>0</v>
      </c>
      <c r="X206" s="97">
        <f t="shared" si="130"/>
        <v>0</v>
      </c>
      <c r="Y206" s="97">
        <f t="shared" si="130"/>
        <v>0</v>
      </c>
      <c r="Z206" s="97">
        <f t="shared" si="130"/>
        <v>0</v>
      </c>
      <c r="AA206" s="97">
        <f t="shared" si="130"/>
        <v>0</v>
      </c>
      <c r="AB206" s="97">
        <f t="shared" si="130"/>
        <v>0</v>
      </c>
      <c r="AC206" s="97">
        <f t="shared" si="130"/>
        <v>0</v>
      </c>
      <c r="AD206" s="97">
        <f t="shared" si="130"/>
        <v>0</v>
      </c>
      <c r="AF206" s="97">
        <f>SUM(AF201:AF205)</f>
        <v>0</v>
      </c>
      <c r="AH206" s="97">
        <f>SUM(AH201:AH205)</f>
        <v>0</v>
      </c>
      <c r="AJ206" s="97">
        <f>SUM(AJ201:AJ205)</f>
        <v>0</v>
      </c>
      <c r="AK206" s="98">
        <f>SUM(H206:AJ206)</f>
        <v>1831796.2320559439</v>
      </c>
      <c r="AL206" s="95" t="str">
        <f>IF(ABS(AK206-F206)&lt;1,"ok","err")</f>
        <v>ok</v>
      </c>
    </row>
    <row r="207" spans="1:38" x14ac:dyDescent="0.25">
      <c r="F207" s="97"/>
      <c r="H207" s="97"/>
      <c r="I207" s="97"/>
      <c r="J207" s="97"/>
      <c r="K207" s="97"/>
      <c r="L207" s="97"/>
      <c r="M207" s="97"/>
      <c r="O207" s="97"/>
      <c r="P207" s="97"/>
      <c r="Q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F207" s="97"/>
      <c r="AH207" s="97"/>
      <c r="AJ207" s="97"/>
      <c r="AK207" s="98"/>
      <c r="AL207" s="95"/>
    </row>
    <row r="208" spans="1:38" x14ac:dyDescent="0.25">
      <c r="B208" s="94" t="s">
        <v>1960</v>
      </c>
      <c r="F208" s="97">
        <f>F197+F206</f>
        <v>29922598.346682429</v>
      </c>
      <c r="H208" s="97">
        <f t="shared" ref="H208:M208" si="131">H197+H206</f>
        <v>831871.32098088646</v>
      </c>
      <c r="I208" s="97">
        <f t="shared" si="131"/>
        <v>784186.58402267878</v>
      </c>
      <c r="J208" s="97">
        <f t="shared" si="131"/>
        <v>805365.03534407355</v>
      </c>
      <c r="K208" s="97">
        <f t="shared" si="131"/>
        <v>27501175.406334795</v>
      </c>
      <c r="L208" s="97">
        <f t="shared" si="131"/>
        <v>0</v>
      </c>
      <c r="M208" s="97">
        <f t="shared" si="131"/>
        <v>0</v>
      </c>
      <c r="O208" s="97">
        <f>O197+O206</f>
        <v>0</v>
      </c>
      <c r="P208" s="97">
        <f>P197+P206</f>
        <v>0</v>
      </c>
      <c r="Q208" s="97">
        <f>Q197+Q206</f>
        <v>0</v>
      </c>
      <c r="S208" s="97">
        <f t="shared" ref="S208:AD208" si="132">S197+S206</f>
        <v>0</v>
      </c>
      <c r="T208" s="97">
        <f t="shared" si="132"/>
        <v>0</v>
      </c>
      <c r="U208" s="97">
        <f t="shared" si="132"/>
        <v>0</v>
      </c>
      <c r="V208" s="97">
        <f t="shared" si="132"/>
        <v>0</v>
      </c>
      <c r="W208" s="97">
        <f t="shared" si="132"/>
        <v>0</v>
      </c>
      <c r="X208" s="97">
        <f t="shared" si="132"/>
        <v>0</v>
      </c>
      <c r="Y208" s="97">
        <f t="shared" si="132"/>
        <v>0</v>
      </c>
      <c r="Z208" s="97">
        <f t="shared" si="132"/>
        <v>0</v>
      </c>
      <c r="AA208" s="97">
        <f t="shared" si="132"/>
        <v>0</v>
      </c>
      <c r="AB208" s="97">
        <f t="shared" si="132"/>
        <v>0</v>
      </c>
      <c r="AC208" s="97">
        <f t="shared" si="132"/>
        <v>0</v>
      </c>
      <c r="AD208" s="97">
        <f t="shared" si="132"/>
        <v>0</v>
      </c>
      <c r="AF208" s="97">
        <f>AF197+AF206</f>
        <v>0</v>
      </c>
      <c r="AH208" s="97">
        <f>AH197+AH206</f>
        <v>0</v>
      </c>
      <c r="AJ208" s="97">
        <f>AJ197+AJ206</f>
        <v>0</v>
      </c>
      <c r="AK208" s="98">
        <f>SUM(H208:AJ208)</f>
        <v>29922598.346682433</v>
      </c>
      <c r="AL208" s="95" t="str">
        <f>IF(ABS(AK208-F208)&lt;1,"ok","err")</f>
        <v>ok</v>
      </c>
    </row>
    <row r="209" spans="1:38" x14ac:dyDescent="0.25">
      <c r="F209" s="97"/>
      <c r="H209" s="97"/>
      <c r="I209" s="97"/>
      <c r="J209" s="97"/>
      <c r="K209" s="97"/>
      <c r="L209" s="97"/>
      <c r="M209" s="97"/>
      <c r="O209" s="97"/>
      <c r="P209" s="97"/>
      <c r="Q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F209" s="97"/>
      <c r="AH209" s="97"/>
      <c r="AJ209" s="97"/>
      <c r="AK209" s="98"/>
      <c r="AL209" s="95"/>
    </row>
    <row r="210" spans="1:38" x14ac:dyDescent="0.25">
      <c r="B210" s="94" t="s">
        <v>1962</v>
      </c>
      <c r="F210" s="97">
        <f>F167+F188+F208</f>
        <v>558298475.36459565</v>
      </c>
      <c r="H210" s="97">
        <f t="shared" ref="H210:M210" si="133">H167+H188+H208</f>
        <v>16187979.777142614</v>
      </c>
      <c r="I210" s="97">
        <f t="shared" si="133"/>
        <v>15260048.331390116</v>
      </c>
      <c r="J210" s="97">
        <f t="shared" si="133"/>
        <v>15672174.982538145</v>
      </c>
      <c r="K210" s="97">
        <f t="shared" si="133"/>
        <v>511178272.27352482</v>
      </c>
      <c r="L210" s="97">
        <f t="shared" si="133"/>
        <v>0</v>
      </c>
      <c r="M210" s="97">
        <f t="shared" si="133"/>
        <v>0</v>
      </c>
      <c r="O210" s="97">
        <f>O167+O188+O208</f>
        <v>0</v>
      </c>
      <c r="P210" s="97">
        <f>P167+P188+P208</f>
        <v>0</v>
      </c>
      <c r="Q210" s="97">
        <f>Q167+Q188+Q208</f>
        <v>0</v>
      </c>
      <c r="S210" s="97">
        <f t="shared" ref="S210:AD210" si="134">S167+S188+S208</f>
        <v>0</v>
      </c>
      <c r="T210" s="97">
        <f t="shared" si="134"/>
        <v>0</v>
      </c>
      <c r="U210" s="97">
        <f t="shared" si="134"/>
        <v>0</v>
      </c>
      <c r="V210" s="97">
        <f t="shared" si="134"/>
        <v>0</v>
      </c>
      <c r="W210" s="97">
        <f t="shared" si="134"/>
        <v>0</v>
      </c>
      <c r="X210" s="97">
        <f t="shared" si="134"/>
        <v>0</v>
      </c>
      <c r="Y210" s="97">
        <f t="shared" si="134"/>
        <v>0</v>
      </c>
      <c r="Z210" s="97">
        <f t="shared" si="134"/>
        <v>0</v>
      </c>
      <c r="AA210" s="97">
        <f t="shared" si="134"/>
        <v>0</v>
      </c>
      <c r="AB210" s="97">
        <f t="shared" si="134"/>
        <v>0</v>
      </c>
      <c r="AC210" s="97">
        <f t="shared" si="134"/>
        <v>0</v>
      </c>
      <c r="AD210" s="97">
        <f t="shared" si="134"/>
        <v>0</v>
      </c>
      <c r="AF210" s="97">
        <f>AF167+AF188+AF208</f>
        <v>0</v>
      </c>
      <c r="AH210" s="97">
        <f>AH167+AH188+AH208</f>
        <v>0</v>
      </c>
      <c r="AJ210" s="97">
        <f>AJ167+AJ188+AJ208</f>
        <v>0</v>
      </c>
      <c r="AK210" s="98">
        <f>SUM(H210:AJ210)</f>
        <v>558298475.36459565</v>
      </c>
      <c r="AL210" s="95" t="str">
        <f>IF(ABS(AK210-F210)&lt;1,"ok","err")</f>
        <v>ok</v>
      </c>
    </row>
    <row r="211" spans="1:38" x14ac:dyDescent="0.25">
      <c r="Y211" s="94"/>
      <c r="AL211" s="95"/>
    </row>
    <row r="212" spans="1:38" x14ac:dyDescent="0.25">
      <c r="A212" s="16" t="s">
        <v>1963</v>
      </c>
      <c r="Y212" s="94"/>
      <c r="AL212" s="95"/>
    </row>
    <row r="213" spans="1:38" x14ac:dyDescent="0.25">
      <c r="A213" s="94">
        <v>555</v>
      </c>
      <c r="B213" s="94" t="s">
        <v>574</v>
      </c>
      <c r="C213" s="94" t="s">
        <v>591</v>
      </c>
      <c r="D213" s="94" t="s">
        <v>956</v>
      </c>
      <c r="F213" s="97">
        <f>'Jurisdictional Study'!F989</f>
        <v>90060700.788345426</v>
      </c>
      <c r="G213" s="97"/>
      <c r="H213" s="98">
        <f t="shared" ref="H213:H218" si="135">IF(VLOOKUP($D213,$C$5:$AJ$646,6,)=0,0,((VLOOKUP($D213,$C$5:$AJ$646,6,)/VLOOKUP($D213,$C$5:$AJ$646,4,))*$F213))</f>
        <v>2596472.0469804252</v>
      </c>
      <c r="I213" s="98">
        <f t="shared" ref="I213:I218" si="136">IF(VLOOKUP($D213,$C$5:$AJ$646,7,)=0,0,((VLOOKUP($D213,$C$5:$AJ$646,7,)/VLOOKUP($D213,$C$5:$AJ$646,4,))*$F213))</f>
        <v>2447636.4236611719</v>
      </c>
      <c r="J213" s="98">
        <f t="shared" ref="J213:J218" si="137">IF(VLOOKUP($D213,$C$5:$AJ$646,8,)=0,0,((VLOOKUP($D213,$C$5:$AJ$646,8,)/VLOOKUP($D213,$C$5:$AJ$646,4,))*$F213))</f>
        <v>2513739.5041105584</v>
      </c>
      <c r="K213" s="98">
        <f t="shared" ref="K213:K218" si="138">IF(VLOOKUP($D213,$C$5:$AJ$646,9,)=0,0,((VLOOKUP($D213,$C$5:$AJ$646,9,)/VLOOKUP($D213,$C$5:$AJ$646,4,))*$F213))</f>
        <v>82502852.813593268</v>
      </c>
      <c r="L213" s="98">
        <f t="shared" ref="L213:L218" si="139">IF(VLOOKUP($D213,$C$5:$AJ$646,10,)=0,0,((VLOOKUP($D213,$C$5:$AJ$646,10,)/VLOOKUP($D213,$C$5:$AJ$646,4,))*$F213))</f>
        <v>0</v>
      </c>
      <c r="M213" s="98">
        <f t="shared" ref="M213:M218" si="140">IF(VLOOKUP($D213,$C$5:$AJ$646,11,)=0,0,((VLOOKUP($D213,$C$5:$AJ$646,11,)/VLOOKUP($D213,$C$5:$AJ$646,4,))*$F213))</f>
        <v>0</v>
      </c>
      <c r="N213" s="98"/>
      <c r="O213" s="98">
        <f t="shared" ref="O213:O218" si="141">IF(VLOOKUP($D213,$C$5:$AJ$646,13,)=0,0,((VLOOKUP($D213,$C$5:$AJ$646,13,)/VLOOKUP($D213,$C$5:$AJ$646,4,))*$F213))</f>
        <v>0</v>
      </c>
      <c r="P213" s="98">
        <f t="shared" ref="P213:P218" si="142">IF(VLOOKUP($D213,$C$5:$AJ$646,14,)=0,0,((VLOOKUP($D213,$C$5:$AJ$646,14,)/VLOOKUP($D213,$C$5:$AJ$646,4,))*$F213))</f>
        <v>0</v>
      </c>
      <c r="Q213" s="98">
        <f t="shared" ref="Q213:Q218" si="143">IF(VLOOKUP($D213,$C$5:$AJ$646,15,)=0,0,((VLOOKUP($D213,$C$5:$AJ$646,15,)/VLOOKUP($D213,$C$5:$AJ$646,4,))*$F213))</f>
        <v>0</v>
      </c>
      <c r="R213" s="98"/>
      <c r="S213" s="98">
        <f t="shared" ref="S213:S218" si="144">IF(VLOOKUP($D213,$C$5:$AJ$646,17,)=0,0,((VLOOKUP($D213,$C$5:$AJ$646,17,)/VLOOKUP($D213,$C$5:$AJ$646,4,))*$F213))</f>
        <v>0</v>
      </c>
      <c r="T213" s="98">
        <f t="shared" ref="T213:T218" si="145">IF(VLOOKUP($D213,$C$5:$AJ$646,18,)=0,0,((VLOOKUP($D213,$C$5:$AJ$646,18,)/VLOOKUP($D213,$C$5:$AJ$646,4,))*$F213))</f>
        <v>0</v>
      </c>
      <c r="U213" s="98">
        <f t="shared" ref="U213:U218" si="146">IF(VLOOKUP($D213,$C$5:$AJ$646,19,)=0,0,((VLOOKUP($D213,$C$5:$AJ$646,19,)/VLOOKUP($D213,$C$5:$AJ$646,4,))*$F213))</f>
        <v>0</v>
      </c>
      <c r="V213" s="98">
        <f t="shared" ref="V213:V218" si="147">IF(VLOOKUP($D213,$C$5:$AJ$646,20,)=0,0,((VLOOKUP($D213,$C$5:$AJ$646,20,)/VLOOKUP($D213,$C$5:$AJ$646,4,))*$F213))</f>
        <v>0</v>
      </c>
      <c r="W213" s="98">
        <f t="shared" ref="W213:W218" si="148">IF(VLOOKUP($D213,$C$5:$AJ$646,21,)=0,0,((VLOOKUP($D213,$C$5:$AJ$646,21,)/VLOOKUP($D213,$C$5:$AJ$646,4,))*$F213))</f>
        <v>0</v>
      </c>
      <c r="X213" s="98">
        <f t="shared" ref="X213:X218" si="149">IF(VLOOKUP($D213,$C$5:$AJ$646,22,)=0,0,((VLOOKUP($D213,$C$5:$AJ$646,22,)/VLOOKUP($D213,$C$5:$AJ$646,4,))*$F213))</f>
        <v>0</v>
      </c>
      <c r="Y213" s="98">
        <f t="shared" ref="Y213:Y218" si="150">IF(VLOOKUP($D213,$C$5:$AJ$646,23,)=0,0,((VLOOKUP($D213,$C$5:$AJ$646,23,)/VLOOKUP($D213,$C$5:$AJ$646,4,))*$F213))</f>
        <v>0</v>
      </c>
      <c r="Z213" s="98">
        <f t="shared" ref="Z213:Z218" si="151">IF(VLOOKUP($D213,$C$5:$AJ$646,24,)=0,0,((VLOOKUP($D213,$C$5:$AJ$646,24,)/VLOOKUP($D213,$C$5:$AJ$646,4,))*$F213))</f>
        <v>0</v>
      </c>
      <c r="AA213" s="98">
        <f t="shared" ref="AA213:AA218" si="152">IF(VLOOKUP($D213,$C$5:$AJ$646,25,)=0,0,((VLOOKUP($D213,$C$5:$AJ$646,25,)/VLOOKUP($D213,$C$5:$AJ$646,4,))*$F213))</f>
        <v>0</v>
      </c>
      <c r="AB213" s="98">
        <f t="shared" ref="AB213:AB218" si="153">IF(VLOOKUP($D213,$C$5:$AJ$646,26,)=0,0,((VLOOKUP($D213,$C$5:$AJ$646,26,)/VLOOKUP($D213,$C$5:$AJ$646,4,))*$F213))</f>
        <v>0</v>
      </c>
      <c r="AC213" s="98">
        <f t="shared" ref="AC213:AC218" si="154">IF(VLOOKUP($D213,$C$5:$AJ$646,27,)=0,0,((VLOOKUP($D213,$C$5:$AJ$646,27,)/VLOOKUP($D213,$C$5:$AJ$646,4,))*$F213))</f>
        <v>0</v>
      </c>
      <c r="AD213" s="98">
        <f t="shared" ref="AD213:AD218" si="155">IF(VLOOKUP($D213,$C$5:$AJ$646,28,)=0,0,((VLOOKUP($D213,$C$5:$AJ$646,28,)/VLOOKUP($D213,$C$5:$AJ$646,4,))*$F213))</f>
        <v>0</v>
      </c>
      <c r="AE213" s="98"/>
      <c r="AF213" s="98">
        <f t="shared" ref="AF213:AF218" si="156">IF(VLOOKUP($D213,$C$5:$AJ$646,30,)=0,0,((VLOOKUP($D213,$C$5:$AJ$646,30,)/VLOOKUP($D213,$C$5:$AJ$646,4,))*$F213))</f>
        <v>0</v>
      </c>
      <c r="AG213" s="98"/>
      <c r="AH213" s="98">
        <f t="shared" ref="AH213:AH218" si="157">IF(VLOOKUP($D213,$C$5:$AJ$646,32,)=0,0,((VLOOKUP($D213,$C$5:$AJ$646,32,)/VLOOKUP($D213,$C$5:$AJ$646,4,))*$F213))</f>
        <v>0</v>
      </c>
      <c r="AI213" s="98"/>
      <c r="AJ213" s="98">
        <f t="shared" ref="AJ213:AJ218" si="158">IF(VLOOKUP($D213,$C$5:$AJ$646,34,)=0,0,((VLOOKUP($D213,$C$5:$AJ$646,34,)/VLOOKUP($D213,$C$5:$AJ$646,4,))*$F213))</f>
        <v>0</v>
      </c>
      <c r="AK213" s="98">
        <f t="shared" ref="AK213:AK218" si="159">SUM(H213:AJ213)</f>
        <v>90060700.788345426</v>
      </c>
      <c r="AL213" s="95" t="str">
        <f t="shared" ref="AL213:AL218" si="160">IF(ABS(AK213-F213)&lt;1,"ok","err")</f>
        <v>ok</v>
      </c>
    </row>
    <row r="214" spans="1:38" x14ac:dyDescent="0.25">
      <c r="A214" s="94">
        <v>555</v>
      </c>
      <c r="B214" s="94" t="s">
        <v>1964</v>
      </c>
      <c r="C214" s="94" t="s">
        <v>1965</v>
      </c>
      <c r="D214" s="94" t="s">
        <v>956</v>
      </c>
      <c r="F214" s="98">
        <v>0</v>
      </c>
      <c r="G214" s="97"/>
      <c r="H214" s="98">
        <f t="shared" si="135"/>
        <v>0</v>
      </c>
      <c r="I214" s="98">
        <f t="shared" si="136"/>
        <v>0</v>
      </c>
      <c r="J214" s="98">
        <f t="shared" si="137"/>
        <v>0</v>
      </c>
      <c r="K214" s="98">
        <f t="shared" si="138"/>
        <v>0</v>
      </c>
      <c r="L214" s="98">
        <f t="shared" si="139"/>
        <v>0</v>
      </c>
      <c r="M214" s="98">
        <f t="shared" si="140"/>
        <v>0</v>
      </c>
      <c r="N214" s="98"/>
      <c r="O214" s="98">
        <f t="shared" si="141"/>
        <v>0</v>
      </c>
      <c r="P214" s="98">
        <f t="shared" si="142"/>
        <v>0</v>
      </c>
      <c r="Q214" s="98">
        <f t="shared" si="143"/>
        <v>0</v>
      </c>
      <c r="R214" s="98"/>
      <c r="S214" s="98">
        <f t="shared" si="144"/>
        <v>0</v>
      </c>
      <c r="T214" s="98">
        <f t="shared" si="145"/>
        <v>0</v>
      </c>
      <c r="U214" s="98">
        <f t="shared" si="146"/>
        <v>0</v>
      </c>
      <c r="V214" s="98">
        <f t="shared" si="147"/>
        <v>0</v>
      </c>
      <c r="W214" s="98">
        <f t="shared" si="148"/>
        <v>0</v>
      </c>
      <c r="X214" s="98">
        <f t="shared" si="149"/>
        <v>0</v>
      </c>
      <c r="Y214" s="98">
        <f t="shared" si="150"/>
        <v>0</v>
      </c>
      <c r="Z214" s="98">
        <f t="shared" si="151"/>
        <v>0</v>
      </c>
      <c r="AA214" s="98">
        <f t="shared" si="152"/>
        <v>0</v>
      </c>
      <c r="AB214" s="98">
        <f t="shared" si="153"/>
        <v>0</v>
      </c>
      <c r="AC214" s="98">
        <f t="shared" si="154"/>
        <v>0</v>
      </c>
      <c r="AD214" s="98">
        <f t="shared" si="155"/>
        <v>0</v>
      </c>
      <c r="AE214" s="98"/>
      <c r="AF214" s="98">
        <f t="shared" si="156"/>
        <v>0</v>
      </c>
      <c r="AG214" s="98"/>
      <c r="AH214" s="98">
        <f t="shared" si="157"/>
        <v>0</v>
      </c>
      <c r="AI214" s="98"/>
      <c r="AJ214" s="98">
        <f t="shared" si="158"/>
        <v>0</v>
      </c>
      <c r="AK214" s="98">
        <f t="shared" si="159"/>
        <v>0</v>
      </c>
      <c r="AL214" s="95" t="str">
        <f t="shared" si="160"/>
        <v>ok</v>
      </c>
    </row>
    <row r="215" spans="1:38" x14ac:dyDescent="0.25">
      <c r="A215" s="94">
        <v>555</v>
      </c>
      <c r="B215" s="94" t="s">
        <v>1966</v>
      </c>
      <c r="C215" s="94" t="s">
        <v>1967</v>
      </c>
      <c r="D215" s="94" t="s">
        <v>956</v>
      </c>
      <c r="F215" s="98">
        <v>0</v>
      </c>
      <c r="G215" s="97"/>
      <c r="H215" s="98">
        <f t="shared" si="135"/>
        <v>0</v>
      </c>
      <c r="I215" s="98">
        <f t="shared" si="136"/>
        <v>0</v>
      </c>
      <c r="J215" s="98">
        <f t="shared" si="137"/>
        <v>0</v>
      </c>
      <c r="K215" s="98">
        <f t="shared" si="138"/>
        <v>0</v>
      </c>
      <c r="L215" s="98">
        <f t="shared" si="139"/>
        <v>0</v>
      </c>
      <c r="M215" s="98">
        <f t="shared" si="140"/>
        <v>0</v>
      </c>
      <c r="N215" s="98"/>
      <c r="O215" s="98">
        <f t="shared" si="141"/>
        <v>0</v>
      </c>
      <c r="P215" s="98">
        <f t="shared" si="142"/>
        <v>0</v>
      </c>
      <c r="Q215" s="98">
        <f t="shared" si="143"/>
        <v>0</v>
      </c>
      <c r="R215" s="98"/>
      <c r="S215" s="98">
        <f t="shared" si="144"/>
        <v>0</v>
      </c>
      <c r="T215" s="98">
        <f t="shared" si="145"/>
        <v>0</v>
      </c>
      <c r="U215" s="98">
        <f t="shared" si="146"/>
        <v>0</v>
      </c>
      <c r="V215" s="98">
        <f t="shared" si="147"/>
        <v>0</v>
      </c>
      <c r="W215" s="98">
        <f t="shared" si="148"/>
        <v>0</v>
      </c>
      <c r="X215" s="98">
        <f t="shared" si="149"/>
        <v>0</v>
      </c>
      <c r="Y215" s="98">
        <f t="shared" si="150"/>
        <v>0</v>
      </c>
      <c r="Z215" s="98">
        <f t="shared" si="151"/>
        <v>0</v>
      </c>
      <c r="AA215" s="98">
        <f t="shared" si="152"/>
        <v>0</v>
      </c>
      <c r="AB215" s="98">
        <f t="shared" si="153"/>
        <v>0</v>
      </c>
      <c r="AC215" s="98">
        <f t="shared" si="154"/>
        <v>0</v>
      </c>
      <c r="AD215" s="98">
        <f t="shared" si="155"/>
        <v>0</v>
      </c>
      <c r="AE215" s="98"/>
      <c r="AF215" s="98">
        <f t="shared" si="156"/>
        <v>0</v>
      </c>
      <c r="AG215" s="98"/>
      <c r="AH215" s="98">
        <f t="shared" si="157"/>
        <v>0</v>
      </c>
      <c r="AI215" s="98"/>
      <c r="AJ215" s="98">
        <f t="shared" si="158"/>
        <v>0</v>
      </c>
      <c r="AK215" s="98">
        <f t="shared" si="159"/>
        <v>0</v>
      </c>
      <c r="AL215" s="95" t="str">
        <f t="shared" si="160"/>
        <v>ok</v>
      </c>
    </row>
    <row r="216" spans="1:38" x14ac:dyDescent="0.25">
      <c r="A216" s="94">
        <v>555</v>
      </c>
      <c r="B216" s="94" t="s">
        <v>1968</v>
      </c>
      <c r="C216" s="94" t="s">
        <v>1969</v>
      </c>
      <c r="D216" s="94" t="s">
        <v>956</v>
      </c>
      <c r="F216" s="98">
        <v>0</v>
      </c>
      <c r="G216" s="97"/>
      <c r="H216" s="98">
        <f t="shared" si="135"/>
        <v>0</v>
      </c>
      <c r="I216" s="98">
        <f t="shared" si="136"/>
        <v>0</v>
      </c>
      <c r="J216" s="98">
        <f t="shared" si="137"/>
        <v>0</v>
      </c>
      <c r="K216" s="98">
        <f t="shared" si="138"/>
        <v>0</v>
      </c>
      <c r="L216" s="98">
        <f t="shared" si="139"/>
        <v>0</v>
      </c>
      <c r="M216" s="98">
        <f t="shared" si="140"/>
        <v>0</v>
      </c>
      <c r="N216" s="98"/>
      <c r="O216" s="98">
        <f t="shared" si="141"/>
        <v>0</v>
      </c>
      <c r="P216" s="98">
        <f t="shared" si="142"/>
        <v>0</v>
      </c>
      <c r="Q216" s="98">
        <f t="shared" si="143"/>
        <v>0</v>
      </c>
      <c r="R216" s="98"/>
      <c r="S216" s="98">
        <f t="shared" si="144"/>
        <v>0</v>
      </c>
      <c r="T216" s="98">
        <f t="shared" si="145"/>
        <v>0</v>
      </c>
      <c r="U216" s="98">
        <f t="shared" si="146"/>
        <v>0</v>
      </c>
      <c r="V216" s="98">
        <f t="shared" si="147"/>
        <v>0</v>
      </c>
      <c r="W216" s="98">
        <f t="shared" si="148"/>
        <v>0</v>
      </c>
      <c r="X216" s="98">
        <f t="shared" si="149"/>
        <v>0</v>
      </c>
      <c r="Y216" s="98">
        <f t="shared" si="150"/>
        <v>0</v>
      </c>
      <c r="Z216" s="98">
        <f t="shared" si="151"/>
        <v>0</v>
      </c>
      <c r="AA216" s="98">
        <f t="shared" si="152"/>
        <v>0</v>
      </c>
      <c r="AB216" s="98">
        <f t="shared" si="153"/>
        <v>0</v>
      </c>
      <c r="AC216" s="98">
        <f t="shared" si="154"/>
        <v>0</v>
      </c>
      <c r="AD216" s="98">
        <f t="shared" si="155"/>
        <v>0</v>
      </c>
      <c r="AE216" s="98"/>
      <c r="AF216" s="98">
        <f t="shared" si="156"/>
        <v>0</v>
      </c>
      <c r="AG216" s="98"/>
      <c r="AH216" s="98">
        <f t="shared" si="157"/>
        <v>0</v>
      </c>
      <c r="AI216" s="98"/>
      <c r="AJ216" s="98">
        <f t="shared" si="158"/>
        <v>0</v>
      </c>
      <c r="AK216" s="98">
        <f t="shared" si="159"/>
        <v>0</v>
      </c>
      <c r="AL216" s="95" t="str">
        <f t="shared" si="160"/>
        <v>ok</v>
      </c>
    </row>
    <row r="217" spans="1:38" x14ac:dyDescent="0.25">
      <c r="A217" s="94">
        <v>556</v>
      </c>
      <c r="B217" s="94" t="s">
        <v>1970</v>
      </c>
      <c r="C217" s="94" t="s">
        <v>1971</v>
      </c>
      <c r="D217" s="94" t="s">
        <v>885</v>
      </c>
      <c r="F217" s="98">
        <f>'Jurisdictional Study'!F991</f>
        <v>1594178.6153847768</v>
      </c>
      <c r="G217" s="97"/>
      <c r="H217" s="98">
        <f t="shared" si="135"/>
        <v>547674.44735169737</v>
      </c>
      <c r="I217" s="98">
        <f t="shared" si="136"/>
        <v>516280.51501862489</v>
      </c>
      <c r="J217" s="98">
        <f t="shared" si="137"/>
        <v>530223.65301445464</v>
      </c>
      <c r="K217" s="98">
        <f t="shared" si="138"/>
        <v>0</v>
      </c>
      <c r="L217" s="98">
        <f t="shared" si="139"/>
        <v>0</v>
      </c>
      <c r="M217" s="98">
        <f t="shared" si="140"/>
        <v>0</v>
      </c>
      <c r="N217" s="98"/>
      <c r="O217" s="98">
        <f t="shared" si="141"/>
        <v>0</v>
      </c>
      <c r="P217" s="98">
        <f t="shared" si="142"/>
        <v>0</v>
      </c>
      <c r="Q217" s="98">
        <f t="shared" si="143"/>
        <v>0</v>
      </c>
      <c r="R217" s="98"/>
      <c r="S217" s="98">
        <f t="shared" si="144"/>
        <v>0</v>
      </c>
      <c r="T217" s="98">
        <f t="shared" si="145"/>
        <v>0</v>
      </c>
      <c r="U217" s="98">
        <f t="shared" si="146"/>
        <v>0</v>
      </c>
      <c r="V217" s="98">
        <f t="shared" si="147"/>
        <v>0</v>
      </c>
      <c r="W217" s="98">
        <f t="shared" si="148"/>
        <v>0</v>
      </c>
      <c r="X217" s="98">
        <f t="shared" si="149"/>
        <v>0</v>
      </c>
      <c r="Y217" s="98">
        <f t="shared" si="150"/>
        <v>0</v>
      </c>
      <c r="Z217" s="98">
        <f t="shared" si="151"/>
        <v>0</v>
      </c>
      <c r="AA217" s="98">
        <f t="shared" si="152"/>
        <v>0</v>
      </c>
      <c r="AB217" s="98">
        <f t="shared" si="153"/>
        <v>0</v>
      </c>
      <c r="AC217" s="98">
        <f t="shared" si="154"/>
        <v>0</v>
      </c>
      <c r="AD217" s="98">
        <f t="shared" si="155"/>
        <v>0</v>
      </c>
      <c r="AE217" s="98"/>
      <c r="AF217" s="98">
        <f t="shared" si="156"/>
        <v>0</v>
      </c>
      <c r="AG217" s="98"/>
      <c r="AH217" s="98">
        <f t="shared" si="157"/>
        <v>0</v>
      </c>
      <c r="AI217" s="98"/>
      <c r="AJ217" s="98">
        <f t="shared" si="158"/>
        <v>0</v>
      </c>
      <c r="AK217" s="98">
        <f t="shared" si="159"/>
        <v>1594178.6153847771</v>
      </c>
      <c r="AL217" s="95" t="str">
        <f t="shared" si="160"/>
        <v>ok</v>
      </c>
    </row>
    <row r="218" spans="1:38" x14ac:dyDescent="0.25">
      <c r="A218" s="94">
        <v>557</v>
      </c>
      <c r="B218" s="94" t="s">
        <v>592</v>
      </c>
      <c r="C218" s="94" t="s">
        <v>593</v>
      </c>
      <c r="D218" s="94" t="s">
        <v>885</v>
      </c>
      <c r="F218" s="98">
        <f>'Jurisdictional Study'!F992</f>
        <v>345976.04965793673</v>
      </c>
      <c r="G218" s="97"/>
      <c r="H218" s="98">
        <f t="shared" si="135"/>
        <v>118858.85305744097</v>
      </c>
      <c r="I218" s="98">
        <f t="shared" si="136"/>
        <v>112045.5960064402</v>
      </c>
      <c r="J218" s="98">
        <f t="shared" si="137"/>
        <v>115071.60059405556</v>
      </c>
      <c r="K218" s="98">
        <f t="shared" si="138"/>
        <v>0</v>
      </c>
      <c r="L218" s="98">
        <f t="shared" si="139"/>
        <v>0</v>
      </c>
      <c r="M218" s="98">
        <f t="shared" si="140"/>
        <v>0</v>
      </c>
      <c r="N218" s="98"/>
      <c r="O218" s="98">
        <f t="shared" si="141"/>
        <v>0</v>
      </c>
      <c r="P218" s="98">
        <f t="shared" si="142"/>
        <v>0</v>
      </c>
      <c r="Q218" s="98">
        <f t="shared" si="143"/>
        <v>0</v>
      </c>
      <c r="R218" s="98"/>
      <c r="S218" s="98">
        <f t="shared" si="144"/>
        <v>0</v>
      </c>
      <c r="T218" s="98">
        <f t="shared" si="145"/>
        <v>0</v>
      </c>
      <c r="U218" s="98">
        <f t="shared" si="146"/>
        <v>0</v>
      </c>
      <c r="V218" s="98">
        <f t="shared" si="147"/>
        <v>0</v>
      </c>
      <c r="W218" s="98">
        <f t="shared" si="148"/>
        <v>0</v>
      </c>
      <c r="X218" s="98">
        <f t="shared" si="149"/>
        <v>0</v>
      </c>
      <c r="Y218" s="98">
        <f t="shared" si="150"/>
        <v>0</v>
      </c>
      <c r="Z218" s="98">
        <f t="shared" si="151"/>
        <v>0</v>
      </c>
      <c r="AA218" s="98">
        <f t="shared" si="152"/>
        <v>0</v>
      </c>
      <c r="AB218" s="98">
        <f t="shared" si="153"/>
        <v>0</v>
      </c>
      <c r="AC218" s="98">
        <f t="shared" si="154"/>
        <v>0</v>
      </c>
      <c r="AD218" s="98">
        <f t="shared" si="155"/>
        <v>0</v>
      </c>
      <c r="AE218" s="98"/>
      <c r="AF218" s="98">
        <f t="shared" si="156"/>
        <v>0</v>
      </c>
      <c r="AG218" s="98"/>
      <c r="AH218" s="98">
        <f t="shared" si="157"/>
        <v>0</v>
      </c>
      <c r="AI218" s="98"/>
      <c r="AJ218" s="98">
        <f t="shared" si="158"/>
        <v>0</v>
      </c>
      <c r="AK218" s="98">
        <f t="shared" si="159"/>
        <v>345976.04965793673</v>
      </c>
      <c r="AL218" s="95" t="str">
        <f t="shared" si="160"/>
        <v>ok</v>
      </c>
    </row>
    <row r="219" spans="1:38" x14ac:dyDescent="0.25">
      <c r="F219" s="98"/>
      <c r="G219" s="97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  <c r="AA219" s="98"/>
      <c r="AB219" s="98"/>
      <c r="AC219" s="98"/>
      <c r="AD219" s="98"/>
      <c r="AE219" s="98"/>
      <c r="AF219" s="98"/>
      <c r="AG219" s="98"/>
      <c r="AH219" s="98"/>
      <c r="AI219" s="98"/>
      <c r="AJ219" s="98"/>
      <c r="AK219" s="98"/>
      <c r="AL219" s="95"/>
    </row>
    <row r="220" spans="1:38" x14ac:dyDescent="0.25">
      <c r="B220" s="94" t="s">
        <v>1985</v>
      </c>
      <c r="C220" s="94" t="s">
        <v>594</v>
      </c>
      <c r="F220" s="97">
        <f>SUM(F213:F219)</f>
        <v>92000855.45338814</v>
      </c>
      <c r="G220" s="97"/>
      <c r="H220" s="97">
        <f t="shared" ref="H220:M220" si="161">SUM(H213:H219)</f>
        <v>3263005.3473895635</v>
      </c>
      <c r="I220" s="97">
        <f t="shared" si="161"/>
        <v>3075962.5346862366</v>
      </c>
      <c r="J220" s="97">
        <f t="shared" si="161"/>
        <v>3159034.7577190683</v>
      </c>
      <c r="K220" s="97">
        <f t="shared" si="161"/>
        <v>82502852.813593268</v>
      </c>
      <c r="L220" s="97">
        <f t="shared" si="161"/>
        <v>0</v>
      </c>
      <c r="M220" s="97">
        <f t="shared" si="161"/>
        <v>0</v>
      </c>
      <c r="N220" s="97"/>
      <c r="O220" s="97">
        <f>SUM(O213:O219)</f>
        <v>0</v>
      </c>
      <c r="P220" s="97">
        <f>SUM(P213:P219)</f>
        <v>0</v>
      </c>
      <c r="Q220" s="97">
        <f>SUM(Q213:Q219)</f>
        <v>0</v>
      </c>
      <c r="R220" s="97"/>
      <c r="S220" s="97">
        <f t="shared" ref="S220:AD220" si="162">SUM(S213:S219)</f>
        <v>0</v>
      </c>
      <c r="T220" s="97">
        <f t="shared" si="162"/>
        <v>0</v>
      </c>
      <c r="U220" s="97">
        <f t="shared" si="162"/>
        <v>0</v>
      </c>
      <c r="V220" s="97">
        <f t="shared" si="162"/>
        <v>0</v>
      </c>
      <c r="W220" s="97">
        <f t="shared" si="162"/>
        <v>0</v>
      </c>
      <c r="X220" s="97">
        <f t="shared" si="162"/>
        <v>0</v>
      </c>
      <c r="Y220" s="97">
        <f t="shared" si="162"/>
        <v>0</v>
      </c>
      <c r="Z220" s="97">
        <f t="shared" si="162"/>
        <v>0</v>
      </c>
      <c r="AA220" s="97">
        <f t="shared" si="162"/>
        <v>0</v>
      </c>
      <c r="AB220" s="97">
        <f t="shared" si="162"/>
        <v>0</v>
      </c>
      <c r="AC220" s="97">
        <f t="shared" si="162"/>
        <v>0</v>
      </c>
      <c r="AD220" s="97">
        <f t="shared" si="162"/>
        <v>0</v>
      </c>
      <c r="AE220" s="97"/>
      <c r="AF220" s="97">
        <f>SUM(AF213:AF219)</f>
        <v>0</v>
      </c>
      <c r="AG220" s="97"/>
      <c r="AH220" s="97">
        <f>SUM(AH213:AH219)</f>
        <v>0</v>
      </c>
      <c r="AI220" s="97"/>
      <c r="AJ220" s="97">
        <f>SUM(AJ213:AJ219)</f>
        <v>0</v>
      </c>
      <c r="AK220" s="98">
        <f>SUM(H220:AJ220)</f>
        <v>92000855.45338814</v>
      </c>
      <c r="AL220" s="95" t="str">
        <f>IF(ABS(AK220-F220)&lt;1,"ok","err")</f>
        <v>ok</v>
      </c>
    </row>
    <row r="221" spans="1:38" x14ac:dyDescent="0.25"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8"/>
      <c r="AL221" s="95"/>
    </row>
    <row r="222" spans="1:38" x14ac:dyDescent="0.25">
      <c r="B222" s="94" t="s">
        <v>1972</v>
      </c>
      <c r="F222" s="97">
        <f>F210+F220</f>
        <v>650299330.81798375</v>
      </c>
      <c r="G222" s="97"/>
      <c r="H222" s="97">
        <f t="shared" ref="H222:M222" si="163">H210+H220</f>
        <v>19450985.124532178</v>
      </c>
      <c r="I222" s="97">
        <f t="shared" si="163"/>
        <v>18336010.866076354</v>
      </c>
      <c r="J222" s="97">
        <f t="shared" si="163"/>
        <v>18831209.740257215</v>
      </c>
      <c r="K222" s="97">
        <f t="shared" si="163"/>
        <v>593681125.08711815</v>
      </c>
      <c r="L222" s="97">
        <f t="shared" si="163"/>
        <v>0</v>
      </c>
      <c r="M222" s="97">
        <f t="shared" si="163"/>
        <v>0</v>
      </c>
      <c r="N222" s="97"/>
      <c r="O222" s="97">
        <f>O210+O220</f>
        <v>0</v>
      </c>
      <c r="P222" s="97">
        <f>P210+P220</f>
        <v>0</v>
      </c>
      <c r="Q222" s="97">
        <f>Q210+Q220</f>
        <v>0</v>
      </c>
      <c r="R222" s="97"/>
      <c r="S222" s="97">
        <f t="shared" ref="S222:AD222" si="164">S210+S220</f>
        <v>0</v>
      </c>
      <c r="T222" s="97">
        <f t="shared" si="164"/>
        <v>0</v>
      </c>
      <c r="U222" s="97">
        <f t="shared" si="164"/>
        <v>0</v>
      </c>
      <c r="V222" s="97">
        <f t="shared" si="164"/>
        <v>0</v>
      </c>
      <c r="W222" s="97">
        <f t="shared" si="164"/>
        <v>0</v>
      </c>
      <c r="X222" s="97">
        <f t="shared" si="164"/>
        <v>0</v>
      </c>
      <c r="Y222" s="97">
        <f t="shared" si="164"/>
        <v>0</v>
      </c>
      <c r="Z222" s="97">
        <f t="shared" si="164"/>
        <v>0</v>
      </c>
      <c r="AA222" s="97">
        <f t="shared" si="164"/>
        <v>0</v>
      </c>
      <c r="AB222" s="97">
        <f t="shared" si="164"/>
        <v>0</v>
      </c>
      <c r="AC222" s="97">
        <f t="shared" si="164"/>
        <v>0</v>
      </c>
      <c r="AD222" s="97">
        <f t="shared" si="164"/>
        <v>0</v>
      </c>
      <c r="AE222" s="97"/>
      <c r="AF222" s="97">
        <f>AF210+AF220</f>
        <v>0</v>
      </c>
      <c r="AG222" s="97"/>
      <c r="AH222" s="97">
        <f>AH210+AH220</f>
        <v>0</v>
      </c>
      <c r="AI222" s="97"/>
      <c r="AJ222" s="97">
        <f>AJ210+AJ220</f>
        <v>0</v>
      </c>
      <c r="AK222" s="98">
        <f>SUM(H222:AJ222)</f>
        <v>650299330.81798387</v>
      </c>
      <c r="AL222" s="95" t="str">
        <f>IF(ABS(AK222-F222)&lt;1,"ok","err")</f>
        <v>ok</v>
      </c>
    </row>
    <row r="223" spans="1:38" x14ac:dyDescent="0.25"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8"/>
      <c r="AL223" s="95"/>
    </row>
    <row r="224" spans="1:38" x14ac:dyDescent="0.25">
      <c r="A224" s="16" t="s">
        <v>566</v>
      </c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8"/>
      <c r="AL224" s="95"/>
    </row>
    <row r="225" spans="1:39" x14ac:dyDescent="0.25">
      <c r="A225" s="94">
        <v>560</v>
      </c>
      <c r="B225" s="94" t="s">
        <v>569</v>
      </c>
      <c r="C225" s="94" t="s">
        <v>596</v>
      </c>
      <c r="D225" s="94" t="s">
        <v>889</v>
      </c>
      <c r="F225" s="97">
        <f>'Jurisdictional Study'!F999</f>
        <v>1203372.5681595828</v>
      </c>
      <c r="G225" s="97"/>
      <c r="H225" s="98">
        <f t="shared" ref="H225:H238" si="165">IF(VLOOKUP($D225,$C$5:$AJ$646,6,)=0,0,((VLOOKUP($D225,$C$5:$AJ$646,6,)/VLOOKUP($D225,$C$5:$AJ$646,4,))*$F225))</f>
        <v>0</v>
      </c>
      <c r="I225" s="98">
        <f t="shared" ref="I225:I238" si="166">IF(VLOOKUP($D225,$C$5:$AJ$646,7,)=0,0,((VLOOKUP($D225,$C$5:$AJ$646,7,)/VLOOKUP($D225,$C$5:$AJ$646,4,))*$F225))</f>
        <v>0</v>
      </c>
      <c r="J225" s="98">
        <f t="shared" ref="J225:J238" si="167">IF(VLOOKUP($D225,$C$5:$AJ$646,8,)=0,0,((VLOOKUP($D225,$C$5:$AJ$646,8,)/VLOOKUP($D225,$C$5:$AJ$646,4,))*$F225))</f>
        <v>0</v>
      </c>
      <c r="K225" s="98">
        <f t="shared" ref="K225:K238" si="168">IF(VLOOKUP($D225,$C$5:$AJ$646,9,)=0,0,((VLOOKUP($D225,$C$5:$AJ$646,9,)/VLOOKUP($D225,$C$5:$AJ$646,4,))*$F225))</f>
        <v>0</v>
      </c>
      <c r="L225" s="98">
        <f t="shared" ref="L225:L238" si="169">IF(VLOOKUP($D225,$C$5:$AJ$646,10,)=0,0,((VLOOKUP($D225,$C$5:$AJ$646,10,)/VLOOKUP($D225,$C$5:$AJ$646,4,))*$F225))</f>
        <v>0</v>
      </c>
      <c r="M225" s="98">
        <f t="shared" ref="M225:M238" si="170">IF(VLOOKUP($D225,$C$5:$AJ$646,11,)=0,0,((VLOOKUP($D225,$C$5:$AJ$646,11,)/VLOOKUP($D225,$C$5:$AJ$646,4,))*$F225))</f>
        <v>0</v>
      </c>
      <c r="N225" s="98"/>
      <c r="O225" s="98">
        <f t="shared" ref="O225:O238" si="171">IF(VLOOKUP($D225,$C$5:$AJ$646,13,)=0,0,((VLOOKUP($D225,$C$5:$AJ$646,13,)/VLOOKUP($D225,$C$5:$AJ$646,4,))*$F225))</f>
        <v>413414.40655689623</v>
      </c>
      <c r="P225" s="98">
        <f t="shared" ref="P225:P238" si="172">IF(VLOOKUP($D225,$C$5:$AJ$646,14,)=0,0,((VLOOKUP($D225,$C$5:$AJ$646,14,)/VLOOKUP($D225,$C$5:$AJ$646,4,))*$F225))</f>
        <v>389716.56202950684</v>
      </c>
      <c r="Q225" s="98">
        <f t="shared" ref="Q225:Q238" si="173">IF(VLOOKUP($D225,$C$5:$AJ$646,15,)=0,0,((VLOOKUP($D225,$C$5:$AJ$646,15,)/VLOOKUP($D225,$C$5:$AJ$646,4,))*$F225))</f>
        <v>400241.59957317961</v>
      </c>
      <c r="R225" s="98"/>
      <c r="S225" s="98">
        <f t="shared" ref="S225:S238" si="174">IF(VLOOKUP($D225,$C$5:$AJ$646,17,)=0,0,((VLOOKUP($D225,$C$5:$AJ$646,17,)/VLOOKUP($D225,$C$5:$AJ$646,4,))*$F225))</f>
        <v>0</v>
      </c>
      <c r="T225" s="98">
        <f t="shared" ref="T225:T238" si="175">IF(VLOOKUP($D225,$C$5:$AJ$646,18,)=0,0,((VLOOKUP($D225,$C$5:$AJ$646,18,)/VLOOKUP($D225,$C$5:$AJ$646,4,))*$F225))</f>
        <v>0</v>
      </c>
      <c r="U225" s="98">
        <f t="shared" ref="U225:U238" si="176">IF(VLOOKUP($D225,$C$5:$AJ$646,19,)=0,0,((VLOOKUP($D225,$C$5:$AJ$646,19,)/VLOOKUP($D225,$C$5:$AJ$646,4,))*$F225))</f>
        <v>0</v>
      </c>
      <c r="V225" s="98">
        <f t="shared" ref="V225:V238" si="177">IF(VLOOKUP($D225,$C$5:$AJ$646,20,)=0,0,((VLOOKUP($D225,$C$5:$AJ$646,20,)/VLOOKUP($D225,$C$5:$AJ$646,4,))*$F225))</f>
        <v>0</v>
      </c>
      <c r="W225" s="98">
        <f t="shared" ref="W225:W238" si="178">IF(VLOOKUP($D225,$C$5:$AJ$646,21,)=0,0,((VLOOKUP($D225,$C$5:$AJ$646,21,)/VLOOKUP($D225,$C$5:$AJ$646,4,))*$F225))</f>
        <v>0</v>
      </c>
      <c r="X225" s="98">
        <f t="shared" ref="X225:X238" si="179">IF(VLOOKUP($D225,$C$5:$AJ$646,22,)=0,0,((VLOOKUP($D225,$C$5:$AJ$646,22,)/VLOOKUP($D225,$C$5:$AJ$646,4,))*$F225))</f>
        <v>0</v>
      </c>
      <c r="Y225" s="98">
        <f t="shared" ref="Y225:Y238" si="180">IF(VLOOKUP($D225,$C$5:$AJ$646,23,)=0,0,((VLOOKUP($D225,$C$5:$AJ$646,23,)/VLOOKUP($D225,$C$5:$AJ$646,4,))*$F225))</f>
        <v>0</v>
      </c>
      <c r="Z225" s="98">
        <f t="shared" ref="Z225:Z238" si="181">IF(VLOOKUP($D225,$C$5:$AJ$646,24,)=0,0,((VLOOKUP($D225,$C$5:$AJ$646,24,)/VLOOKUP($D225,$C$5:$AJ$646,4,))*$F225))</f>
        <v>0</v>
      </c>
      <c r="AA225" s="98">
        <f t="shared" ref="AA225:AA238" si="182">IF(VLOOKUP($D225,$C$5:$AJ$646,25,)=0,0,((VLOOKUP($D225,$C$5:$AJ$646,25,)/VLOOKUP($D225,$C$5:$AJ$646,4,))*$F225))</f>
        <v>0</v>
      </c>
      <c r="AB225" s="98">
        <f t="shared" ref="AB225:AB238" si="183">IF(VLOOKUP($D225,$C$5:$AJ$646,26,)=0,0,((VLOOKUP($D225,$C$5:$AJ$646,26,)/VLOOKUP($D225,$C$5:$AJ$646,4,))*$F225))</f>
        <v>0</v>
      </c>
      <c r="AC225" s="98">
        <f t="shared" ref="AC225:AC238" si="184">IF(VLOOKUP($D225,$C$5:$AJ$646,27,)=0,0,((VLOOKUP($D225,$C$5:$AJ$646,27,)/VLOOKUP($D225,$C$5:$AJ$646,4,))*$F225))</f>
        <v>0</v>
      </c>
      <c r="AD225" s="98">
        <f t="shared" ref="AD225:AD238" si="185">IF(VLOOKUP($D225,$C$5:$AJ$646,28,)=0,0,((VLOOKUP($D225,$C$5:$AJ$646,28,)/VLOOKUP($D225,$C$5:$AJ$646,4,))*$F225))</f>
        <v>0</v>
      </c>
      <c r="AE225" s="98"/>
      <c r="AF225" s="98">
        <f t="shared" ref="AF225:AF238" si="186">IF(VLOOKUP($D225,$C$5:$AJ$646,30,)=0,0,((VLOOKUP($D225,$C$5:$AJ$646,30,)/VLOOKUP($D225,$C$5:$AJ$646,4,))*$F225))</f>
        <v>0</v>
      </c>
      <c r="AG225" s="98"/>
      <c r="AH225" s="98">
        <f t="shared" ref="AH225:AH238" si="187">IF(VLOOKUP($D225,$C$5:$AJ$646,32,)=0,0,((VLOOKUP($D225,$C$5:$AJ$646,32,)/VLOOKUP($D225,$C$5:$AJ$646,4,))*$F225))</f>
        <v>0</v>
      </c>
      <c r="AI225" s="98"/>
      <c r="AJ225" s="98">
        <f t="shared" ref="AJ225:AJ238" si="188">IF(VLOOKUP($D225,$C$5:$AJ$646,34,)=0,0,((VLOOKUP($D225,$C$5:$AJ$646,34,)/VLOOKUP($D225,$C$5:$AJ$646,4,))*$F225))</f>
        <v>0</v>
      </c>
      <c r="AK225" s="98">
        <f t="shared" ref="AK225:AK230" si="189">SUM(H225:AJ225)</f>
        <v>1203372.5681595826</v>
      </c>
      <c r="AL225" s="95" t="str">
        <f t="shared" ref="AL225:AL237" si="190">IF(ABS(AK225-F225)&lt;1,"ok","err")</f>
        <v>ok</v>
      </c>
    </row>
    <row r="226" spans="1:39" x14ac:dyDescent="0.25">
      <c r="A226" s="94">
        <v>561</v>
      </c>
      <c r="B226" s="94" t="s">
        <v>960</v>
      </c>
      <c r="C226" s="94" t="s">
        <v>597</v>
      </c>
      <c r="D226" s="94" t="s">
        <v>889</v>
      </c>
      <c r="F226" s="98">
        <f>'Jurisdictional Study'!F1000</f>
        <v>2285039.8072054833</v>
      </c>
      <c r="G226" s="97"/>
      <c r="H226" s="98">
        <f t="shared" si="165"/>
        <v>0</v>
      </c>
      <c r="I226" s="98">
        <f t="shared" si="166"/>
        <v>0</v>
      </c>
      <c r="J226" s="98">
        <f t="shared" si="167"/>
        <v>0</v>
      </c>
      <c r="K226" s="98">
        <f t="shared" si="168"/>
        <v>0</v>
      </c>
      <c r="L226" s="98">
        <f t="shared" si="169"/>
        <v>0</v>
      </c>
      <c r="M226" s="98">
        <f t="shared" si="170"/>
        <v>0</v>
      </c>
      <c r="N226" s="98"/>
      <c r="O226" s="98">
        <f t="shared" si="171"/>
        <v>785017.37603965739</v>
      </c>
      <c r="P226" s="98">
        <f t="shared" si="172"/>
        <v>740018.41269045277</v>
      </c>
      <c r="Q226" s="98">
        <f t="shared" si="173"/>
        <v>760004.01847537304</v>
      </c>
      <c r="R226" s="98"/>
      <c r="S226" s="98">
        <f t="shared" si="174"/>
        <v>0</v>
      </c>
      <c r="T226" s="98">
        <f t="shared" si="175"/>
        <v>0</v>
      </c>
      <c r="U226" s="98">
        <f t="shared" si="176"/>
        <v>0</v>
      </c>
      <c r="V226" s="98">
        <f t="shared" si="177"/>
        <v>0</v>
      </c>
      <c r="W226" s="98">
        <f t="shared" si="178"/>
        <v>0</v>
      </c>
      <c r="X226" s="98">
        <f t="shared" si="179"/>
        <v>0</v>
      </c>
      <c r="Y226" s="98">
        <f t="shared" si="180"/>
        <v>0</v>
      </c>
      <c r="Z226" s="98">
        <f t="shared" si="181"/>
        <v>0</v>
      </c>
      <c r="AA226" s="98">
        <f t="shared" si="182"/>
        <v>0</v>
      </c>
      <c r="AB226" s="98">
        <f t="shared" si="183"/>
        <v>0</v>
      </c>
      <c r="AC226" s="98">
        <f t="shared" si="184"/>
        <v>0</v>
      </c>
      <c r="AD226" s="98">
        <f t="shared" si="185"/>
        <v>0</v>
      </c>
      <c r="AE226" s="98"/>
      <c r="AF226" s="98">
        <f t="shared" si="186"/>
        <v>0</v>
      </c>
      <c r="AG226" s="98"/>
      <c r="AH226" s="98">
        <f t="shared" si="187"/>
        <v>0</v>
      </c>
      <c r="AI226" s="98"/>
      <c r="AJ226" s="98">
        <f t="shared" si="188"/>
        <v>0</v>
      </c>
      <c r="AK226" s="98">
        <f t="shared" si="189"/>
        <v>2285039.8072054833</v>
      </c>
      <c r="AL226" s="95" t="str">
        <f t="shared" si="190"/>
        <v>ok</v>
      </c>
    </row>
    <row r="227" spans="1:39" x14ac:dyDescent="0.25">
      <c r="A227" s="94">
        <v>562</v>
      </c>
      <c r="B227" s="94" t="s">
        <v>567</v>
      </c>
      <c r="C227" s="94" t="s">
        <v>598</v>
      </c>
      <c r="D227" s="94" t="s">
        <v>889</v>
      </c>
      <c r="F227" s="98">
        <f>'Jurisdictional Study'!F1001</f>
        <v>619140.94149309001</v>
      </c>
      <c r="G227" s="97"/>
      <c r="H227" s="98">
        <f t="shared" si="165"/>
        <v>0</v>
      </c>
      <c r="I227" s="98">
        <f t="shared" si="166"/>
        <v>0</v>
      </c>
      <c r="J227" s="98">
        <f t="shared" si="167"/>
        <v>0</v>
      </c>
      <c r="K227" s="98">
        <f t="shared" si="168"/>
        <v>0</v>
      </c>
      <c r="L227" s="98">
        <f t="shared" si="169"/>
        <v>0</v>
      </c>
      <c r="M227" s="98">
        <f t="shared" si="170"/>
        <v>0</v>
      </c>
      <c r="N227" s="98"/>
      <c r="O227" s="98">
        <f t="shared" si="171"/>
        <v>212703.68934361477</v>
      </c>
      <c r="P227" s="98">
        <f t="shared" si="172"/>
        <v>200511.03499843198</v>
      </c>
      <c r="Q227" s="98">
        <f t="shared" si="173"/>
        <v>205926.21715104318</v>
      </c>
      <c r="R227" s="98"/>
      <c r="S227" s="98">
        <f t="shared" si="174"/>
        <v>0</v>
      </c>
      <c r="T227" s="98">
        <f t="shared" si="175"/>
        <v>0</v>
      </c>
      <c r="U227" s="98">
        <f t="shared" si="176"/>
        <v>0</v>
      </c>
      <c r="V227" s="98">
        <f t="shared" si="177"/>
        <v>0</v>
      </c>
      <c r="W227" s="98">
        <f t="shared" si="178"/>
        <v>0</v>
      </c>
      <c r="X227" s="98">
        <f t="shared" si="179"/>
        <v>0</v>
      </c>
      <c r="Y227" s="98">
        <f t="shared" si="180"/>
        <v>0</v>
      </c>
      <c r="Z227" s="98">
        <f t="shared" si="181"/>
        <v>0</v>
      </c>
      <c r="AA227" s="98">
        <f t="shared" si="182"/>
        <v>0</v>
      </c>
      <c r="AB227" s="98">
        <f t="shared" si="183"/>
        <v>0</v>
      </c>
      <c r="AC227" s="98">
        <f t="shared" si="184"/>
        <v>0</v>
      </c>
      <c r="AD227" s="98">
        <f t="shared" si="185"/>
        <v>0</v>
      </c>
      <c r="AE227" s="98"/>
      <c r="AF227" s="98">
        <f t="shared" si="186"/>
        <v>0</v>
      </c>
      <c r="AG227" s="98"/>
      <c r="AH227" s="98">
        <f t="shared" si="187"/>
        <v>0</v>
      </c>
      <c r="AI227" s="98"/>
      <c r="AJ227" s="98">
        <f t="shared" si="188"/>
        <v>0</v>
      </c>
      <c r="AK227" s="98">
        <f t="shared" si="189"/>
        <v>619140.94149309001</v>
      </c>
      <c r="AL227" s="95" t="str">
        <f t="shared" si="190"/>
        <v>ok</v>
      </c>
    </row>
    <row r="228" spans="1:39" x14ac:dyDescent="0.25">
      <c r="A228" s="94">
        <v>563</v>
      </c>
      <c r="B228" s="94" t="s">
        <v>962</v>
      </c>
      <c r="C228" s="94" t="s">
        <v>599</v>
      </c>
      <c r="D228" s="94" t="s">
        <v>889</v>
      </c>
      <c r="F228" s="98">
        <f>'Jurisdictional Study'!F1002</f>
        <v>391173.28678995743</v>
      </c>
      <c r="G228" s="97"/>
      <c r="H228" s="98">
        <f t="shared" si="165"/>
        <v>0</v>
      </c>
      <c r="I228" s="98">
        <f t="shared" si="166"/>
        <v>0</v>
      </c>
      <c r="J228" s="98">
        <f t="shared" si="167"/>
        <v>0</v>
      </c>
      <c r="K228" s="98">
        <f t="shared" si="168"/>
        <v>0</v>
      </c>
      <c r="L228" s="98">
        <f t="shared" si="169"/>
        <v>0</v>
      </c>
      <c r="M228" s="98">
        <f t="shared" si="170"/>
        <v>0</v>
      </c>
      <c r="N228" s="98"/>
      <c r="O228" s="98">
        <f t="shared" si="171"/>
        <v>134386.20465356586</v>
      </c>
      <c r="P228" s="98">
        <f t="shared" si="172"/>
        <v>126682.88485145866</v>
      </c>
      <c r="Q228" s="98">
        <f t="shared" si="173"/>
        <v>130104.19728493287</v>
      </c>
      <c r="R228" s="98"/>
      <c r="S228" s="98">
        <f t="shared" si="174"/>
        <v>0</v>
      </c>
      <c r="T228" s="98">
        <f t="shared" si="175"/>
        <v>0</v>
      </c>
      <c r="U228" s="98">
        <f t="shared" si="176"/>
        <v>0</v>
      </c>
      <c r="V228" s="98">
        <f t="shared" si="177"/>
        <v>0</v>
      </c>
      <c r="W228" s="98">
        <f t="shared" si="178"/>
        <v>0</v>
      </c>
      <c r="X228" s="98">
        <f t="shared" si="179"/>
        <v>0</v>
      </c>
      <c r="Y228" s="98">
        <f t="shared" si="180"/>
        <v>0</v>
      </c>
      <c r="Z228" s="98">
        <f t="shared" si="181"/>
        <v>0</v>
      </c>
      <c r="AA228" s="98">
        <f t="shared" si="182"/>
        <v>0</v>
      </c>
      <c r="AB228" s="98">
        <f t="shared" si="183"/>
        <v>0</v>
      </c>
      <c r="AC228" s="98">
        <f t="shared" si="184"/>
        <v>0</v>
      </c>
      <c r="AD228" s="98">
        <f t="shared" si="185"/>
        <v>0</v>
      </c>
      <c r="AE228" s="98"/>
      <c r="AF228" s="98">
        <f t="shared" si="186"/>
        <v>0</v>
      </c>
      <c r="AG228" s="98"/>
      <c r="AH228" s="98">
        <f t="shared" si="187"/>
        <v>0</v>
      </c>
      <c r="AI228" s="98"/>
      <c r="AJ228" s="98">
        <f t="shared" si="188"/>
        <v>0</v>
      </c>
      <c r="AK228" s="98">
        <f t="shared" si="189"/>
        <v>391173.28678995738</v>
      </c>
      <c r="AL228" s="95" t="str">
        <f t="shared" si="190"/>
        <v>ok</v>
      </c>
    </row>
    <row r="229" spans="1:39" x14ac:dyDescent="0.25">
      <c r="A229" s="94">
        <v>565</v>
      </c>
      <c r="B229" s="94" t="s">
        <v>1973</v>
      </c>
      <c r="C229" s="94" t="s">
        <v>1974</v>
      </c>
      <c r="D229" s="94" t="s">
        <v>889</v>
      </c>
      <c r="F229" s="98">
        <f>'Jurisdictional Study'!F1004</f>
        <v>1918210.2086867176</v>
      </c>
      <c r="G229" s="97"/>
      <c r="H229" s="98">
        <f t="shared" si="165"/>
        <v>0</v>
      </c>
      <c r="I229" s="98">
        <f t="shared" si="166"/>
        <v>0</v>
      </c>
      <c r="J229" s="98">
        <f t="shared" si="167"/>
        <v>0</v>
      </c>
      <c r="K229" s="98">
        <f t="shared" si="168"/>
        <v>0</v>
      </c>
      <c r="L229" s="98">
        <f t="shared" si="169"/>
        <v>0</v>
      </c>
      <c r="M229" s="98">
        <f t="shared" si="170"/>
        <v>0</v>
      </c>
      <c r="N229" s="98"/>
      <c r="O229" s="98">
        <f t="shared" si="171"/>
        <v>658994.35973384697</v>
      </c>
      <c r="P229" s="98">
        <f t="shared" si="172"/>
        <v>621219.3194021309</v>
      </c>
      <c r="Q229" s="98">
        <f t="shared" si="173"/>
        <v>637996.52955073945</v>
      </c>
      <c r="R229" s="98"/>
      <c r="S229" s="98">
        <f t="shared" si="174"/>
        <v>0</v>
      </c>
      <c r="T229" s="98">
        <f t="shared" si="175"/>
        <v>0</v>
      </c>
      <c r="U229" s="98">
        <f t="shared" si="176"/>
        <v>0</v>
      </c>
      <c r="V229" s="98">
        <f t="shared" si="177"/>
        <v>0</v>
      </c>
      <c r="W229" s="98">
        <f t="shared" si="178"/>
        <v>0</v>
      </c>
      <c r="X229" s="98">
        <f t="shared" si="179"/>
        <v>0</v>
      </c>
      <c r="Y229" s="98">
        <f t="shared" si="180"/>
        <v>0</v>
      </c>
      <c r="Z229" s="98">
        <f t="shared" si="181"/>
        <v>0</v>
      </c>
      <c r="AA229" s="98">
        <f t="shared" si="182"/>
        <v>0</v>
      </c>
      <c r="AB229" s="98">
        <f t="shared" si="183"/>
        <v>0</v>
      </c>
      <c r="AC229" s="98">
        <f t="shared" si="184"/>
        <v>0</v>
      </c>
      <c r="AD229" s="98">
        <f t="shared" si="185"/>
        <v>0</v>
      </c>
      <c r="AE229" s="98"/>
      <c r="AF229" s="98">
        <f t="shared" si="186"/>
        <v>0</v>
      </c>
      <c r="AG229" s="98"/>
      <c r="AH229" s="98">
        <f t="shared" si="187"/>
        <v>0</v>
      </c>
      <c r="AI229" s="98"/>
      <c r="AJ229" s="98">
        <f t="shared" si="188"/>
        <v>0</v>
      </c>
      <c r="AK229" s="98">
        <f t="shared" si="189"/>
        <v>1918210.2086867173</v>
      </c>
      <c r="AL229" s="95" t="str">
        <f t="shared" si="190"/>
        <v>ok</v>
      </c>
    </row>
    <row r="230" spans="1:39" x14ac:dyDescent="0.25">
      <c r="A230" s="94">
        <v>566</v>
      </c>
      <c r="B230" s="94" t="s">
        <v>1109</v>
      </c>
      <c r="C230" s="94" t="s">
        <v>1110</v>
      </c>
      <c r="D230" s="94" t="s">
        <v>584</v>
      </c>
      <c r="F230" s="98">
        <f>'Jurisdictional Study'!F1005</f>
        <v>9779438.4120993223</v>
      </c>
      <c r="G230" s="97"/>
      <c r="H230" s="98">
        <f t="shared" si="165"/>
        <v>0</v>
      </c>
      <c r="I230" s="98">
        <f t="shared" si="166"/>
        <v>0</v>
      </c>
      <c r="J230" s="98">
        <f t="shared" si="167"/>
        <v>0</v>
      </c>
      <c r="K230" s="98">
        <f t="shared" si="168"/>
        <v>0</v>
      </c>
      <c r="L230" s="98">
        <f t="shared" si="169"/>
        <v>0</v>
      </c>
      <c r="M230" s="98">
        <f t="shared" si="170"/>
        <v>0</v>
      </c>
      <c r="N230" s="98"/>
      <c r="O230" s="98">
        <f t="shared" si="171"/>
        <v>3359691.6155243521</v>
      </c>
      <c r="P230" s="98">
        <f t="shared" si="172"/>
        <v>3167106.528256203</v>
      </c>
      <c r="Q230" s="98">
        <f t="shared" si="173"/>
        <v>3252640.2683187663</v>
      </c>
      <c r="R230" s="98"/>
      <c r="S230" s="98">
        <f t="shared" si="174"/>
        <v>0</v>
      </c>
      <c r="T230" s="98">
        <f t="shared" si="175"/>
        <v>0</v>
      </c>
      <c r="U230" s="98">
        <f t="shared" si="176"/>
        <v>0</v>
      </c>
      <c r="V230" s="98">
        <f t="shared" si="177"/>
        <v>0</v>
      </c>
      <c r="W230" s="98">
        <f t="shared" si="178"/>
        <v>0</v>
      </c>
      <c r="X230" s="98">
        <f t="shared" si="179"/>
        <v>0</v>
      </c>
      <c r="Y230" s="98">
        <f t="shared" si="180"/>
        <v>0</v>
      </c>
      <c r="Z230" s="98">
        <f t="shared" si="181"/>
        <v>0</v>
      </c>
      <c r="AA230" s="98">
        <f t="shared" si="182"/>
        <v>0</v>
      </c>
      <c r="AB230" s="98">
        <f t="shared" si="183"/>
        <v>0</v>
      </c>
      <c r="AC230" s="98">
        <f t="shared" si="184"/>
        <v>0</v>
      </c>
      <c r="AD230" s="98">
        <f t="shared" si="185"/>
        <v>0</v>
      </c>
      <c r="AE230" s="98"/>
      <c r="AF230" s="98">
        <f t="shared" si="186"/>
        <v>0</v>
      </c>
      <c r="AG230" s="98"/>
      <c r="AH230" s="98">
        <f t="shared" si="187"/>
        <v>0</v>
      </c>
      <c r="AI230" s="98"/>
      <c r="AJ230" s="98">
        <f t="shared" si="188"/>
        <v>0</v>
      </c>
      <c r="AK230" s="98">
        <f t="shared" si="189"/>
        <v>9779438.4120993223</v>
      </c>
      <c r="AL230" s="95" t="str">
        <f t="shared" si="190"/>
        <v>ok</v>
      </c>
    </row>
    <row r="231" spans="1:39" x14ac:dyDescent="0.25">
      <c r="A231" s="94">
        <v>567</v>
      </c>
      <c r="B231" s="94" t="s">
        <v>455</v>
      </c>
      <c r="C231" s="94" t="s">
        <v>1975</v>
      </c>
      <c r="D231" s="94" t="s">
        <v>584</v>
      </c>
      <c r="F231" s="98">
        <f>'Jurisdictional Study'!F1006</f>
        <v>114629.00343651016</v>
      </c>
      <c r="G231" s="97"/>
      <c r="H231" s="98">
        <f t="shared" si="165"/>
        <v>0</v>
      </c>
      <c r="I231" s="98">
        <f t="shared" si="166"/>
        <v>0</v>
      </c>
      <c r="J231" s="98">
        <f t="shared" si="167"/>
        <v>0</v>
      </c>
      <c r="K231" s="98">
        <f t="shared" si="168"/>
        <v>0</v>
      </c>
      <c r="L231" s="98">
        <f t="shared" si="169"/>
        <v>0</v>
      </c>
      <c r="M231" s="98">
        <f t="shared" si="170"/>
        <v>0</v>
      </c>
      <c r="N231" s="98"/>
      <c r="O231" s="98">
        <f t="shared" si="171"/>
        <v>39380.390316184137</v>
      </c>
      <c r="P231" s="98">
        <f t="shared" si="172"/>
        <v>37123.017683930673</v>
      </c>
      <c r="Q231" s="98">
        <f t="shared" si="173"/>
        <v>38125.595436395342</v>
      </c>
      <c r="R231" s="98"/>
      <c r="S231" s="98">
        <f t="shared" si="174"/>
        <v>0</v>
      </c>
      <c r="T231" s="98">
        <f t="shared" si="175"/>
        <v>0</v>
      </c>
      <c r="U231" s="98">
        <f t="shared" si="176"/>
        <v>0</v>
      </c>
      <c r="V231" s="98">
        <f t="shared" si="177"/>
        <v>0</v>
      </c>
      <c r="W231" s="98">
        <f t="shared" si="178"/>
        <v>0</v>
      </c>
      <c r="X231" s="98">
        <f t="shared" si="179"/>
        <v>0</v>
      </c>
      <c r="Y231" s="98">
        <f t="shared" si="180"/>
        <v>0</v>
      </c>
      <c r="Z231" s="98">
        <f t="shared" si="181"/>
        <v>0</v>
      </c>
      <c r="AA231" s="98">
        <f t="shared" si="182"/>
        <v>0</v>
      </c>
      <c r="AB231" s="98">
        <f t="shared" si="183"/>
        <v>0</v>
      </c>
      <c r="AC231" s="98">
        <f t="shared" si="184"/>
        <v>0</v>
      </c>
      <c r="AD231" s="98">
        <f t="shared" si="185"/>
        <v>0</v>
      </c>
      <c r="AE231" s="98"/>
      <c r="AF231" s="98">
        <f t="shared" si="186"/>
        <v>0</v>
      </c>
      <c r="AG231" s="98"/>
      <c r="AH231" s="98">
        <f t="shared" si="187"/>
        <v>0</v>
      </c>
      <c r="AI231" s="98"/>
      <c r="AJ231" s="98">
        <f t="shared" si="188"/>
        <v>0</v>
      </c>
      <c r="AK231" s="98">
        <f t="shared" ref="AK231:AK237" si="191">SUM(H231:AJ231)</f>
        <v>114629.00343651016</v>
      </c>
      <c r="AL231" s="95" t="str">
        <f t="shared" si="190"/>
        <v>ok</v>
      </c>
    </row>
    <row r="232" spans="1:39" x14ac:dyDescent="0.25">
      <c r="A232" s="94">
        <v>568</v>
      </c>
      <c r="B232" s="94" t="s">
        <v>568</v>
      </c>
      <c r="C232" s="94" t="s">
        <v>1695</v>
      </c>
      <c r="D232" s="94" t="s">
        <v>889</v>
      </c>
      <c r="F232" s="98">
        <f>'Jurisdictional Study'!F1009</f>
        <v>0</v>
      </c>
      <c r="G232" s="97"/>
      <c r="H232" s="98">
        <f t="shared" si="165"/>
        <v>0</v>
      </c>
      <c r="I232" s="98">
        <f t="shared" si="166"/>
        <v>0</v>
      </c>
      <c r="J232" s="98">
        <f t="shared" si="167"/>
        <v>0</v>
      </c>
      <c r="K232" s="98">
        <f t="shared" si="168"/>
        <v>0</v>
      </c>
      <c r="L232" s="98">
        <f t="shared" si="169"/>
        <v>0</v>
      </c>
      <c r="M232" s="98">
        <f t="shared" si="170"/>
        <v>0</v>
      </c>
      <c r="N232" s="98"/>
      <c r="O232" s="98">
        <f t="shared" si="171"/>
        <v>0</v>
      </c>
      <c r="P232" s="98">
        <f t="shared" si="172"/>
        <v>0</v>
      </c>
      <c r="Q232" s="98">
        <f t="shared" si="173"/>
        <v>0</v>
      </c>
      <c r="R232" s="98"/>
      <c r="S232" s="98">
        <f t="shared" si="174"/>
        <v>0</v>
      </c>
      <c r="T232" s="98">
        <f t="shared" si="175"/>
        <v>0</v>
      </c>
      <c r="U232" s="98">
        <f t="shared" si="176"/>
        <v>0</v>
      </c>
      <c r="V232" s="98">
        <f t="shared" si="177"/>
        <v>0</v>
      </c>
      <c r="W232" s="98">
        <f t="shared" si="178"/>
        <v>0</v>
      </c>
      <c r="X232" s="98">
        <f t="shared" si="179"/>
        <v>0</v>
      </c>
      <c r="Y232" s="98">
        <f t="shared" si="180"/>
        <v>0</v>
      </c>
      <c r="Z232" s="98">
        <f t="shared" si="181"/>
        <v>0</v>
      </c>
      <c r="AA232" s="98">
        <f t="shared" si="182"/>
        <v>0</v>
      </c>
      <c r="AB232" s="98">
        <f t="shared" si="183"/>
        <v>0</v>
      </c>
      <c r="AC232" s="98">
        <f t="shared" si="184"/>
        <v>0</v>
      </c>
      <c r="AD232" s="98">
        <f t="shared" si="185"/>
        <v>0</v>
      </c>
      <c r="AE232" s="98"/>
      <c r="AF232" s="98">
        <f t="shared" si="186"/>
        <v>0</v>
      </c>
      <c r="AG232" s="98"/>
      <c r="AH232" s="98">
        <f t="shared" si="187"/>
        <v>0</v>
      </c>
      <c r="AI232" s="98"/>
      <c r="AJ232" s="98">
        <f t="shared" si="188"/>
        <v>0</v>
      </c>
      <c r="AK232" s="98">
        <f t="shared" si="191"/>
        <v>0</v>
      </c>
      <c r="AL232" s="95" t="str">
        <f t="shared" si="190"/>
        <v>ok</v>
      </c>
    </row>
    <row r="233" spans="1:39" x14ac:dyDescent="0.25">
      <c r="A233" s="94">
        <v>569</v>
      </c>
      <c r="B233" s="94" t="s">
        <v>1976</v>
      </c>
      <c r="C233" s="94" t="s">
        <v>1977</v>
      </c>
      <c r="D233" s="94" t="s">
        <v>889</v>
      </c>
      <c r="F233" s="98">
        <f>'Jurisdictional Study'!F1010</f>
        <v>0</v>
      </c>
      <c r="G233" s="97"/>
      <c r="H233" s="98">
        <f t="shared" si="165"/>
        <v>0</v>
      </c>
      <c r="I233" s="98">
        <f t="shared" si="166"/>
        <v>0</v>
      </c>
      <c r="J233" s="98">
        <f t="shared" si="167"/>
        <v>0</v>
      </c>
      <c r="K233" s="98">
        <f t="shared" si="168"/>
        <v>0</v>
      </c>
      <c r="L233" s="98">
        <f t="shared" si="169"/>
        <v>0</v>
      </c>
      <c r="M233" s="98">
        <f t="shared" si="170"/>
        <v>0</v>
      </c>
      <c r="N233" s="98"/>
      <c r="O233" s="98">
        <f t="shared" si="171"/>
        <v>0</v>
      </c>
      <c r="P233" s="98">
        <f t="shared" si="172"/>
        <v>0</v>
      </c>
      <c r="Q233" s="98">
        <f t="shared" si="173"/>
        <v>0</v>
      </c>
      <c r="R233" s="98"/>
      <c r="S233" s="98">
        <f t="shared" si="174"/>
        <v>0</v>
      </c>
      <c r="T233" s="98">
        <f t="shared" si="175"/>
        <v>0</v>
      </c>
      <c r="U233" s="98">
        <f t="shared" si="176"/>
        <v>0</v>
      </c>
      <c r="V233" s="98">
        <f t="shared" si="177"/>
        <v>0</v>
      </c>
      <c r="W233" s="98">
        <f t="shared" si="178"/>
        <v>0</v>
      </c>
      <c r="X233" s="98">
        <f t="shared" si="179"/>
        <v>0</v>
      </c>
      <c r="Y233" s="98">
        <f t="shared" si="180"/>
        <v>0</v>
      </c>
      <c r="Z233" s="98">
        <f t="shared" si="181"/>
        <v>0</v>
      </c>
      <c r="AA233" s="98">
        <f t="shared" si="182"/>
        <v>0</v>
      </c>
      <c r="AB233" s="98">
        <f t="shared" si="183"/>
        <v>0</v>
      </c>
      <c r="AC233" s="98">
        <f t="shared" si="184"/>
        <v>0</v>
      </c>
      <c r="AD233" s="98">
        <f t="shared" si="185"/>
        <v>0</v>
      </c>
      <c r="AE233" s="98"/>
      <c r="AF233" s="98">
        <f t="shared" si="186"/>
        <v>0</v>
      </c>
      <c r="AG233" s="98"/>
      <c r="AH233" s="98">
        <f t="shared" si="187"/>
        <v>0</v>
      </c>
      <c r="AI233" s="98"/>
      <c r="AJ233" s="98">
        <f t="shared" si="188"/>
        <v>0</v>
      </c>
      <c r="AK233" s="98">
        <f t="shared" si="191"/>
        <v>0</v>
      </c>
      <c r="AL233" s="95" t="str">
        <f t="shared" si="190"/>
        <v>ok</v>
      </c>
    </row>
    <row r="234" spans="1:39" x14ac:dyDescent="0.25">
      <c r="A234" s="94">
        <v>570</v>
      </c>
      <c r="B234" s="94" t="s">
        <v>570</v>
      </c>
      <c r="C234" s="94" t="s">
        <v>1696</v>
      </c>
      <c r="D234" s="94" t="s">
        <v>889</v>
      </c>
      <c r="F234" s="98">
        <f>'Jurisdictional Study'!F1011</f>
        <v>1568775.3075602711</v>
      </c>
      <c r="G234" s="97"/>
      <c r="H234" s="98">
        <f t="shared" si="165"/>
        <v>0</v>
      </c>
      <c r="I234" s="98">
        <f t="shared" si="166"/>
        <v>0</v>
      </c>
      <c r="J234" s="98">
        <f t="shared" si="167"/>
        <v>0</v>
      </c>
      <c r="K234" s="98">
        <f t="shared" si="168"/>
        <v>0</v>
      </c>
      <c r="L234" s="98">
        <f t="shared" si="169"/>
        <v>0</v>
      </c>
      <c r="M234" s="98">
        <f t="shared" si="170"/>
        <v>0</v>
      </c>
      <c r="N234" s="98"/>
      <c r="O234" s="98">
        <f t="shared" si="171"/>
        <v>538947.23043922265</v>
      </c>
      <c r="P234" s="98">
        <f t="shared" si="172"/>
        <v>508053.56182765705</v>
      </c>
      <c r="Q234" s="98">
        <f t="shared" si="173"/>
        <v>521774.51529339125</v>
      </c>
      <c r="R234" s="98"/>
      <c r="S234" s="98">
        <f t="shared" si="174"/>
        <v>0</v>
      </c>
      <c r="T234" s="98">
        <f t="shared" si="175"/>
        <v>0</v>
      </c>
      <c r="U234" s="98">
        <f t="shared" si="176"/>
        <v>0</v>
      </c>
      <c r="V234" s="98">
        <f t="shared" si="177"/>
        <v>0</v>
      </c>
      <c r="W234" s="98">
        <f t="shared" si="178"/>
        <v>0</v>
      </c>
      <c r="X234" s="98">
        <f t="shared" si="179"/>
        <v>0</v>
      </c>
      <c r="Y234" s="98">
        <f t="shared" si="180"/>
        <v>0</v>
      </c>
      <c r="Z234" s="98">
        <f t="shared" si="181"/>
        <v>0</v>
      </c>
      <c r="AA234" s="98">
        <f t="shared" si="182"/>
        <v>0</v>
      </c>
      <c r="AB234" s="98">
        <f t="shared" si="183"/>
        <v>0</v>
      </c>
      <c r="AC234" s="98">
        <f t="shared" si="184"/>
        <v>0</v>
      </c>
      <c r="AD234" s="98">
        <f t="shared" si="185"/>
        <v>0</v>
      </c>
      <c r="AE234" s="98"/>
      <c r="AF234" s="98">
        <f t="shared" si="186"/>
        <v>0</v>
      </c>
      <c r="AG234" s="98"/>
      <c r="AH234" s="98">
        <f t="shared" si="187"/>
        <v>0</v>
      </c>
      <c r="AI234" s="98"/>
      <c r="AJ234" s="98">
        <f t="shared" si="188"/>
        <v>0</v>
      </c>
      <c r="AK234" s="98">
        <f t="shared" si="191"/>
        <v>1568775.3075602709</v>
      </c>
      <c r="AL234" s="95" t="str">
        <f t="shared" si="190"/>
        <v>ok</v>
      </c>
    </row>
    <row r="235" spans="1:39" x14ac:dyDescent="0.25">
      <c r="A235" s="94">
        <v>571</v>
      </c>
      <c r="B235" s="94" t="s">
        <v>571</v>
      </c>
      <c r="C235" s="94" t="s">
        <v>1697</v>
      </c>
      <c r="D235" s="94" t="s">
        <v>889</v>
      </c>
      <c r="F235" s="98">
        <f>'Jurisdictional Study'!F1012</f>
        <v>3755066.053588747</v>
      </c>
      <c r="G235" s="97"/>
      <c r="H235" s="98">
        <f t="shared" si="165"/>
        <v>0</v>
      </c>
      <c r="I235" s="98">
        <f t="shared" si="166"/>
        <v>0</v>
      </c>
      <c r="J235" s="98">
        <f t="shared" si="167"/>
        <v>0</v>
      </c>
      <c r="K235" s="98">
        <f t="shared" si="168"/>
        <v>0</v>
      </c>
      <c r="L235" s="98">
        <f t="shared" si="169"/>
        <v>0</v>
      </c>
      <c r="M235" s="98">
        <f t="shared" si="170"/>
        <v>0</v>
      </c>
      <c r="N235" s="98"/>
      <c r="O235" s="98">
        <f t="shared" si="171"/>
        <v>1290039.714384174</v>
      </c>
      <c r="P235" s="98">
        <f t="shared" si="172"/>
        <v>1216091.7336153262</v>
      </c>
      <c r="Q235" s="98">
        <f t="shared" si="173"/>
        <v>1248934.6055892464</v>
      </c>
      <c r="R235" s="98"/>
      <c r="S235" s="98">
        <f t="shared" si="174"/>
        <v>0</v>
      </c>
      <c r="T235" s="98">
        <f t="shared" si="175"/>
        <v>0</v>
      </c>
      <c r="U235" s="98">
        <f t="shared" si="176"/>
        <v>0</v>
      </c>
      <c r="V235" s="98">
        <f t="shared" si="177"/>
        <v>0</v>
      </c>
      <c r="W235" s="98">
        <f t="shared" si="178"/>
        <v>0</v>
      </c>
      <c r="X235" s="98">
        <f t="shared" si="179"/>
        <v>0</v>
      </c>
      <c r="Y235" s="98">
        <f t="shared" si="180"/>
        <v>0</v>
      </c>
      <c r="Z235" s="98">
        <f t="shared" si="181"/>
        <v>0</v>
      </c>
      <c r="AA235" s="98">
        <f t="shared" si="182"/>
        <v>0</v>
      </c>
      <c r="AB235" s="98">
        <f t="shared" si="183"/>
        <v>0</v>
      </c>
      <c r="AC235" s="98">
        <f t="shared" si="184"/>
        <v>0</v>
      </c>
      <c r="AD235" s="98">
        <f t="shared" si="185"/>
        <v>0</v>
      </c>
      <c r="AE235" s="98"/>
      <c r="AF235" s="98">
        <f t="shared" si="186"/>
        <v>0</v>
      </c>
      <c r="AG235" s="98"/>
      <c r="AH235" s="98">
        <f t="shared" si="187"/>
        <v>0</v>
      </c>
      <c r="AI235" s="98"/>
      <c r="AJ235" s="98">
        <f t="shared" si="188"/>
        <v>0</v>
      </c>
      <c r="AK235" s="98">
        <f t="shared" si="191"/>
        <v>3755066.0535887466</v>
      </c>
      <c r="AL235" s="95" t="str">
        <f t="shared" si="190"/>
        <v>ok</v>
      </c>
    </row>
    <row r="236" spans="1:39" x14ac:dyDescent="0.25">
      <c r="A236" s="94">
        <v>572</v>
      </c>
      <c r="B236" s="94" t="s">
        <v>1978</v>
      </c>
      <c r="C236" s="94" t="s">
        <v>1979</v>
      </c>
      <c r="D236" s="94" t="s">
        <v>889</v>
      </c>
      <c r="F236" s="98">
        <f>'Jurisdictional Study'!F1013</f>
        <v>0</v>
      </c>
      <c r="G236" s="97"/>
      <c r="H236" s="98">
        <f t="shared" si="165"/>
        <v>0</v>
      </c>
      <c r="I236" s="98">
        <f t="shared" si="166"/>
        <v>0</v>
      </c>
      <c r="J236" s="98">
        <f t="shared" si="167"/>
        <v>0</v>
      </c>
      <c r="K236" s="98">
        <f t="shared" si="168"/>
        <v>0</v>
      </c>
      <c r="L236" s="98">
        <f t="shared" si="169"/>
        <v>0</v>
      </c>
      <c r="M236" s="98">
        <f t="shared" si="170"/>
        <v>0</v>
      </c>
      <c r="N236" s="98"/>
      <c r="O236" s="98">
        <f t="shared" si="171"/>
        <v>0</v>
      </c>
      <c r="P236" s="98">
        <f t="shared" si="172"/>
        <v>0</v>
      </c>
      <c r="Q236" s="98">
        <f t="shared" si="173"/>
        <v>0</v>
      </c>
      <c r="R236" s="98"/>
      <c r="S236" s="98">
        <f t="shared" si="174"/>
        <v>0</v>
      </c>
      <c r="T236" s="98">
        <f t="shared" si="175"/>
        <v>0</v>
      </c>
      <c r="U236" s="98">
        <f t="shared" si="176"/>
        <v>0</v>
      </c>
      <c r="V236" s="98">
        <f t="shared" si="177"/>
        <v>0</v>
      </c>
      <c r="W236" s="98">
        <f t="shared" si="178"/>
        <v>0</v>
      </c>
      <c r="X236" s="98">
        <f t="shared" si="179"/>
        <v>0</v>
      </c>
      <c r="Y236" s="98">
        <f t="shared" si="180"/>
        <v>0</v>
      </c>
      <c r="Z236" s="98">
        <f t="shared" si="181"/>
        <v>0</v>
      </c>
      <c r="AA236" s="98">
        <f t="shared" si="182"/>
        <v>0</v>
      </c>
      <c r="AB236" s="98">
        <f t="shared" si="183"/>
        <v>0</v>
      </c>
      <c r="AC236" s="98">
        <f t="shared" si="184"/>
        <v>0</v>
      </c>
      <c r="AD236" s="98">
        <f t="shared" si="185"/>
        <v>0</v>
      </c>
      <c r="AE236" s="98"/>
      <c r="AF236" s="98">
        <f t="shared" si="186"/>
        <v>0</v>
      </c>
      <c r="AG236" s="98"/>
      <c r="AH236" s="98">
        <f t="shared" si="187"/>
        <v>0</v>
      </c>
      <c r="AI236" s="98"/>
      <c r="AJ236" s="98">
        <f t="shared" si="188"/>
        <v>0</v>
      </c>
      <c r="AK236" s="98">
        <f t="shared" si="191"/>
        <v>0</v>
      </c>
      <c r="AL236" s="95" t="str">
        <f t="shared" si="190"/>
        <v>ok</v>
      </c>
    </row>
    <row r="237" spans="1:39" x14ac:dyDescent="0.25">
      <c r="A237" s="94">
        <v>573</v>
      </c>
      <c r="B237" s="94" t="s">
        <v>1980</v>
      </c>
      <c r="C237" s="94" t="s">
        <v>1981</v>
      </c>
      <c r="D237" s="94" t="s">
        <v>584</v>
      </c>
      <c r="F237" s="98">
        <f>'Jurisdictional Study'!F1014</f>
        <v>546407.23729747615</v>
      </c>
      <c r="G237" s="97"/>
      <c r="H237" s="98">
        <f t="shared" si="165"/>
        <v>0</v>
      </c>
      <c r="I237" s="98">
        <f t="shared" si="166"/>
        <v>0</v>
      </c>
      <c r="J237" s="98">
        <f t="shared" si="167"/>
        <v>0</v>
      </c>
      <c r="K237" s="98">
        <f t="shared" si="168"/>
        <v>0</v>
      </c>
      <c r="L237" s="98">
        <f t="shared" si="169"/>
        <v>0</v>
      </c>
      <c r="M237" s="98">
        <f t="shared" si="170"/>
        <v>0</v>
      </c>
      <c r="N237" s="98"/>
      <c r="O237" s="98">
        <f t="shared" si="171"/>
        <v>187716.28149310863</v>
      </c>
      <c r="P237" s="98">
        <f t="shared" si="172"/>
        <v>176955.96162150026</v>
      </c>
      <c r="Q237" s="98">
        <f t="shared" si="173"/>
        <v>181734.99418286723</v>
      </c>
      <c r="R237" s="98"/>
      <c r="S237" s="98">
        <f t="shared" si="174"/>
        <v>0</v>
      </c>
      <c r="T237" s="98">
        <f t="shared" si="175"/>
        <v>0</v>
      </c>
      <c r="U237" s="98">
        <f t="shared" si="176"/>
        <v>0</v>
      </c>
      <c r="V237" s="98">
        <f t="shared" si="177"/>
        <v>0</v>
      </c>
      <c r="W237" s="98">
        <f t="shared" si="178"/>
        <v>0</v>
      </c>
      <c r="X237" s="98">
        <f t="shared" si="179"/>
        <v>0</v>
      </c>
      <c r="Y237" s="98">
        <f t="shared" si="180"/>
        <v>0</v>
      </c>
      <c r="Z237" s="98">
        <f t="shared" si="181"/>
        <v>0</v>
      </c>
      <c r="AA237" s="98">
        <f t="shared" si="182"/>
        <v>0</v>
      </c>
      <c r="AB237" s="98">
        <f t="shared" si="183"/>
        <v>0</v>
      </c>
      <c r="AC237" s="98">
        <f t="shared" si="184"/>
        <v>0</v>
      </c>
      <c r="AD237" s="98">
        <f t="shared" si="185"/>
        <v>0</v>
      </c>
      <c r="AE237" s="98"/>
      <c r="AF237" s="98">
        <f t="shared" si="186"/>
        <v>0</v>
      </c>
      <c r="AG237" s="98"/>
      <c r="AH237" s="98">
        <f t="shared" si="187"/>
        <v>0</v>
      </c>
      <c r="AI237" s="98"/>
      <c r="AJ237" s="98">
        <f t="shared" si="188"/>
        <v>0</v>
      </c>
      <c r="AK237" s="98">
        <f t="shared" si="191"/>
        <v>546407.23729747615</v>
      </c>
      <c r="AL237" s="95" t="str">
        <f t="shared" si="190"/>
        <v>ok</v>
      </c>
    </row>
    <row r="238" spans="1:39" x14ac:dyDescent="0.25">
      <c r="A238" s="94">
        <v>575</v>
      </c>
      <c r="B238" s="94" t="s">
        <v>727</v>
      </c>
      <c r="C238" s="94" t="s">
        <v>912</v>
      </c>
      <c r="D238" s="94" t="s">
        <v>584</v>
      </c>
      <c r="F238" s="98">
        <f>'Jurisdictional Study'!F1007</f>
        <v>1224444.8729017179</v>
      </c>
      <c r="G238" s="97"/>
      <c r="H238" s="98">
        <f t="shared" si="165"/>
        <v>0</v>
      </c>
      <c r="I238" s="98">
        <f t="shared" si="166"/>
        <v>0</v>
      </c>
      <c r="J238" s="98">
        <f t="shared" si="167"/>
        <v>0</v>
      </c>
      <c r="K238" s="98">
        <f t="shared" si="168"/>
        <v>0</v>
      </c>
      <c r="L238" s="98">
        <f t="shared" si="169"/>
        <v>0</v>
      </c>
      <c r="M238" s="98">
        <f t="shared" si="170"/>
        <v>0</v>
      </c>
      <c r="N238" s="98"/>
      <c r="O238" s="98">
        <f t="shared" si="171"/>
        <v>420653.7226176564</v>
      </c>
      <c r="P238" s="98">
        <f t="shared" si="172"/>
        <v>396540.90419537702</v>
      </c>
      <c r="Q238" s="98">
        <f t="shared" si="173"/>
        <v>407250.24608868436</v>
      </c>
      <c r="R238" s="98"/>
      <c r="S238" s="98">
        <f t="shared" si="174"/>
        <v>0</v>
      </c>
      <c r="T238" s="98">
        <f t="shared" si="175"/>
        <v>0</v>
      </c>
      <c r="U238" s="98">
        <f t="shared" si="176"/>
        <v>0</v>
      </c>
      <c r="V238" s="98">
        <f t="shared" si="177"/>
        <v>0</v>
      </c>
      <c r="W238" s="98">
        <f t="shared" si="178"/>
        <v>0</v>
      </c>
      <c r="X238" s="98">
        <f t="shared" si="179"/>
        <v>0</v>
      </c>
      <c r="Y238" s="98">
        <f t="shared" si="180"/>
        <v>0</v>
      </c>
      <c r="Z238" s="98">
        <f t="shared" si="181"/>
        <v>0</v>
      </c>
      <c r="AA238" s="98">
        <f t="shared" si="182"/>
        <v>0</v>
      </c>
      <c r="AB238" s="98">
        <f t="shared" si="183"/>
        <v>0</v>
      </c>
      <c r="AC238" s="98">
        <f t="shared" si="184"/>
        <v>0</v>
      </c>
      <c r="AD238" s="98">
        <f t="shared" si="185"/>
        <v>0</v>
      </c>
      <c r="AE238" s="98"/>
      <c r="AF238" s="98">
        <f t="shared" si="186"/>
        <v>0</v>
      </c>
      <c r="AG238" s="98"/>
      <c r="AH238" s="98">
        <f t="shared" si="187"/>
        <v>0</v>
      </c>
      <c r="AI238" s="98"/>
      <c r="AJ238" s="98">
        <f t="shared" si="188"/>
        <v>0</v>
      </c>
      <c r="AK238" s="98">
        <f>SUM(H238:AJ238)</f>
        <v>1224444.8729017177</v>
      </c>
      <c r="AL238" s="95" t="str">
        <f>IF(ABS(AK238-F238)&lt;1,"ok","err")</f>
        <v>ok</v>
      </c>
    </row>
    <row r="239" spans="1:39" x14ac:dyDescent="0.25"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8"/>
      <c r="AL239" s="95"/>
    </row>
    <row r="240" spans="1:39" x14ac:dyDescent="0.25">
      <c r="A240" s="94" t="s">
        <v>572</v>
      </c>
      <c r="F240" s="99">
        <f>SUM(F225:F238)</f>
        <v>23405697.699218877</v>
      </c>
      <c r="G240" s="99">
        <f>SUM(G225:G235)</f>
        <v>0</v>
      </c>
      <c r="H240" s="99">
        <f t="shared" ref="H240:M240" si="192">SUM(H225:H238)</f>
        <v>0</v>
      </c>
      <c r="I240" s="99">
        <f t="shared" si="192"/>
        <v>0</v>
      </c>
      <c r="J240" s="99">
        <f t="shared" si="192"/>
        <v>0</v>
      </c>
      <c r="K240" s="99">
        <f t="shared" si="192"/>
        <v>0</v>
      </c>
      <c r="L240" s="99">
        <f t="shared" si="192"/>
        <v>0</v>
      </c>
      <c r="M240" s="99">
        <f t="shared" si="192"/>
        <v>0</v>
      </c>
      <c r="N240" s="99"/>
      <c r="O240" s="99">
        <f>SUM(O225:O238)</f>
        <v>8040944.9911022782</v>
      </c>
      <c r="P240" s="99">
        <f>SUM(P225:P238)</f>
        <v>7580019.9211719753</v>
      </c>
      <c r="Q240" s="99">
        <f>SUM(Q225:Q238)</f>
        <v>7784732.7869446194</v>
      </c>
      <c r="R240" s="99"/>
      <c r="S240" s="99">
        <f t="shared" ref="S240:AD240" si="193">SUM(S225:S238)</f>
        <v>0</v>
      </c>
      <c r="T240" s="99">
        <f t="shared" si="193"/>
        <v>0</v>
      </c>
      <c r="U240" s="99">
        <f t="shared" si="193"/>
        <v>0</v>
      </c>
      <c r="V240" s="99">
        <f t="shared" si="193"/>
        <v>0</v>
      </c>
      <c r="W240" s="99">
        <f t="shared" si="193"/>
        <v>0</v>
      </c>
      <c r="X240" s="99">
        <f t="shared" si="193"/>
        <v>0</v>
      </c>
      <c r="Y240" s="99">
        <f t="shared" si="193"/>
        <v>0</v>
      </c>
      <c r="Z240" s="99">
        <f t="shared" si="193"/>
        <v>0</v>
      </c>
      <c r="AA240" s="99">
        <f t="shared" si="193"/>
        <v>0</v>
      </c>
      <c r="AB240" s="99">
        <f t="shared" si="193"/>
        <v>0</v>
      </c>
      <c r="AC240" s="99">
        <f t="shared" si="193"/>
        <v>0</v>
      </c>
      <c r="AD240" s="99">
        <f t="shared" si="193"/>
        <v>0</v>
      </c>
      <c r="AE240" s="99"/>
      <c r="AF240" s="99">
        <f>SUM(AF225:AF238)</f>
        <v>0</v>
      </c>
      <c r="AG240" s="99"/>
      <c r="AH240" s="99">
        <f>SUM(AH225:AH238)</f>
        <v>0</v>
      </c>
      <c r="AI240" s="99"/>
      <c r="AJ240" s="99">
        <f>SUM(AJ225:AJ238)</f>
        <v>0</v>
      </c>
      <c r="AK240" s="97">
        <f>SUM(H240:AJ240)</f>
        <v>23405697.699218873</v>
      </c>
      <c r="AL240" s="95" t="str">
        <f>IF(ABS(AK240-F240)&lt;1,"ok","err")</f>
        <v>ok</v>
      </c>
      <c r="AM240" s="106"/>
    </row>
    <row r="241" spans="1:38" x14ac:dyDescent="0.25">
      <c r="Y241" s="94"/>
      <c r="AL241" s="95"/>
    </row>
    <row r="242" spans="1:38" x14ac:dyDescent="0.25">
      <c r="A242" s="16" t="s">
        <v>957</v>
      </c>
      <c r="Y242" s="94"/>
      <c r="AL242" s="95"/>
    </row>
    <row r="243" spans="1:38" x14ac:dyDescent="0.25">
      <c r="A243" s="94">
        <v>580</v>
      </c>
      <c r="B243" s="94" t="s">
        <v>958</v>
      </c>
      <c r="C243" s="94" t="s">
        <v>959</v>
      </c>
      <c r="D243" s="94" t="s">
        <v>1273</v>
      </c>
      <c r="F243" s="97">
        <f>'Jurisdictional Study'!F1020</f>
        <v>1886828.7080854911</v>
      </c>
      <c r="H243" s="98">
        <f t="shared" ref="H243:H254" si="194">IF(VLOOKUP($D243,$C$5:$AJ$646,6,)=0,0,((VLOOKUP($D243,$C$5:$AJ$646,6,)/VLOOKUP($D243,$C$5:$AJ$646,4,))*$F243))</f>
        <v>0</v>
      </c>
      <c r="I243" s="98">
        <f t="shared" ref="I243:I254" si="195">IF(VLOOKUP($D243,$C$5:$AJ$646,7,)=0,0,((VLOOKUP($D243,$C$5:$AJ$646,7,)/VLOOKUP($D243,$C$5:$AJ$646,4,))*$F243))</f>
        <v>0</v>
      </c>
      <c r="J243" s="98">
        <f t="shared" ref="J243:J254" si="196">IF(VLOOKUP($D243,$C$5:$AJ$646,8,)=0,0,((VLOOKUP($D243,$C$5:$AJ$646,8,)/VLOOKUP($D243,$C$5:$AJ$646,4,))*$F243))</f>
        <v>0</v>
      </c>
      <c r="K243" s="98">
        <f t="shared" ref="K243:K254" si="197">IF(VLOOKUP($D243,$C$5:$AJ$646,9,)=0,0,((VLOOKUP($D243,$C$5:$AJ$646,9,)/VLOOKUP($D243,$C$5:$AJ$646,4,))*$F243))</f>
        <v>0</v>
      </c>
      <c r="L243" s="98">
        <f t="shared" ref="L243:L254" si="198">IF(VLOOKUP($D243,$C$5:$AJ$646,10,)=0,0,((VLOOKUP($D243,$C$5:$AJ$646,10,)/VLOOKUP($D243,$C$5:$AJ$646,4,))*$F243))</f>
        <v>0</v>
      </c>
      <c r="M243" s="98">
        <f t="shared" ref="M243:M254" si="199">IF(VLOOKUP($D243,$C$5:$AJ$646,11,)=0,0,((VLOOKUP($D243,$C$5:$AJ$646,11,)/VLOOKUP($D243,$C$5:$AJ$646,4,))*$F243))</f>
        <v>0</v>
      </c>
      <c r="N243" s="98"/>
      <c r="O243" s="98">
        <f t="shared" ref="O243:O254" si="200">IF(VLOOKUP($D243,$C$5:$AJ$646,13,)=0,0,((VLOOKUP($D243,$C$5:$AJ$646,13,)/VLOOKUP($D243,$C$5:$AJ$646,4,))*$F243))</f>
        <v>0</v>
      </c>
      <c r="P243" s="98">
        <f t="shared" ref="P243:P254" si="201">IF(VLOOKUP($D243,$C$5:$AJ$646,14,)=0,0,((VLOOKUP($D243,$C$5:$AJ$646,14,)/VLOOKUP($D243,$C$5:$AJ$646,4,))*$F243))</f>
        <v>0</v>
      </c>
      <c r="Q243" s="98">
        <f t="shared" ref="Q243:Q254" si="202">IF(VLOOKUP($D243,$C$5:$AJ$646,15,)=0,0,((VLOOKUP($D243,$C$5:$AJ$646,15,)/VLOOKUP($D243,$C$5:$AJ$646,4,))*$F243))</f>
        <v>0</v>
      </c>
      <c r="R243" s="98"/>
      <c r="S243" s="98">
        <f t="shared" ref="S243:S254" si="203">IF(VLOOKUP($D243,$C$5:$AJ$646,17,)=0,0,((VLOOKUP($D243,$C$5:$AJ$646,17,)/VLOOKUP($D243,$C$5:$AJ$646,4,))*$F243))</f>
        <v>0</v>
      </c>
      <c r="T243" s="98">
        <f t="shared" ref="T243:T254" si="204">IF(VLOOKUP($D243,$C$5:$AJ$646,18,)=0,0,((VLOOKUP($D243,$C$5:$AJ$646,18,)/VLOOKUP($D243,$C$5:$AJ$646,4,))*$F243))</f>
        <v>328618.52289727452</v>
      </c>
      <c r="U243" s="98">
        <f t="shared" ref="U243:U254" si="205">IF(VLOOKUP($D243,$C$5:$AJ$646,19,)=0,0,((VLOOKUP($D243,$C$5:$AJ$646,19,)/VLOOKUP($D243,$C$5:$AJ$646,4,))*$F243))</f>
        <v>0</v>
      </c>
      <c r="V243" s="98">
        <f t="shared" ref="V243:V254" si="206">IF(VLOOKUP($D243,$C$5:$AJ$646,20,)=0,0,((VLOOKUP($D243,$C$5:$AJ$646,20,)/VLOOKUP($D243,$C$5:$AJ$646,4,))*$F243))</f>
        <v>204623.0385389796</v>
      </c>
      <c r="W243" s="98">
        <f t="shared" ref="W243:W254" si="207">IF(VLOOKUP($D243,$C$5:$AJ$646,21,)=0,0,((VLOOKUP($D243,$C$5:$AJ$646,21,)/VLOOKUP($D243,$C$5:$AJ$646,4,))*$F243))</f>
        <v>272512.53595776134</v>
      </c>
      <c r="X243" s="98">
        <f t="shared" ref="X243:X254" si="208">IF(VLOOKUP($D243,$C$5:$AJ$646,22,)=0,0,((VLOOKUP($D243,$C$5:$AJ$646,22,)/VLOOKUP($D243,$C$5:$AJ$646,4,))*$F243))</f>
        <v>36109.947977466982</v>
      </c>
      <c r="Y243" s="98">
        <f t="shared" ref="Y243:Y254" si="209">IF(VLOOKUP($D243,$C$5:$AJ$646,23,)=0,0,((VLOOKUP($D243,$C$5:$AJ$646,23,)/VLOOKUP($D243,$C$5:$AJ$646,4,))*$F243))</f>
        <v>48090.447521957882</v>
      </c>
      <c r="Z243" s="98">
        <f t="shared" ref="Z243:Z254" si="210">IF(VLOOKUP($D243,$C$5:$AJ$646,24,)=0,0,((VLOOKUP($D243,$C$5:$AJ$646,24,)/VLOOKUP($D243,$C$5:$AJ$646,4,))*$F243))</f>
        <v>53471.637624184768</v>
      </c>
      <c r="AA243" s="98">
        <f t="shared" ref="AA243:AA254" si="211">IF(VLOOKUP($D243,$C$5:$AJ$646,25,)=0,0,((VLOOKUP($D243,$C$5:$AJ$646,25,)/VLOOKUP($D243,$C$5:$AJ$646,4,))*$F243))</f>
        <v>45752.035829488952</v>
      </c>
      <c r="AB243" s="98">
        <f t="shared" ref="AB243:AB254" si="212">IF(VLOOKUP($D243,$C$5:$AJ$646,26,)=0,0,((VLOOKUP($D243,$C$5:$AJ$646,26,)/VLOOKUP($D243,$C$5:$AJ$646,4,))*$F243))</f>
        <v>30670.553153313096</v>
      </c>
      <c r="AC243" s="98">
        <f t="shared" ref="AC243:AC254" si="213">IF(VLOOKUP($D243,$C$5:$AJ$646,27,)=0,0,((VLOOKUP($D243,$C$5:$AJ$646,27,)/VLOOKUP($D243,$C$5:$AJ$646,4,))*$F243))</f>
        <v>830508.44907648303</v>
      </c>
      <c r="AD243" s="98">
        <f t="shared" ref="AD243:AD254" si="214">IF(VLOOKUP($D243,$C$5:$AJ$646,28,)=0,0,((VLOOKUP($D243,$C$5:$AJ$646,28,)/VLOOKUP($D243,$C$5:$AJ$646,4,))*$F243))</f>
        <v>36471.539508580936</v>
      </c>
      <c r="AE243" s="98"/>
      <c r="AF243" s="98">
        <f t="shared" ref="AF243:AF254" si="215">IF(VLOOKUP($D243,$C$5:$AJ$646,30,)=0,0,((VLOOKUP($D243,$C$5:$AJ$646,30,)/VLOOKUP($D243,$C$5:$AJ$646,4,))*$F243))</f>
        <v>0</v>
      </c>
      <c r="AG243" s="98"/>
      <c r="AH243" s="98">
        <f t="shared" ref="AH243:AH254" si="216">IF(VLOOKUP($D243,$C$5:$AJ$646,32,)=0,0,((VLOOKUP($D243,$C$5:$AJ$646,32,)/VLOOKUP($D243,$C$5:$AJ$646,4,))*$F243))</f>
        <v>0</v>
      </c>
      <c r="AI243" s="98"/>
      <c r="AJ243" s="98">
        <f t="shared" ref="AJ243:AJ254" si="217">IF(VLOOKUP($D243,$C$5:$AJ$646,34,)=0,0,((VLOOKUP($D243,$C$5:$AJ$646,34,)/VLOOKUP($D243,$C$5:$AJ$646,4,))*$F243))</f>
        <v>0</v>
      </c>
      <c r="AK243" s="98">
        <f t="shared" ref="AK243:AK254" si="218">SUM(H243:AJ243)</f>
        <v>1886828.7080854911</v>
      </c>
      <c r="AL243" s="95" t="str">
        <f t="shared" ref="AL243:AL254" si="219">IF(ABS(AK243-F243)&lt;1,"ok","err")</f>
        <v>ok</v>
      </c>
    </row>
    <row r="244" spans="1:38" x14ac:dyDescent="0.25">
      <c r="A244" s="94">
        <v>581</v>
      </c>
      <c r="B244" s="94" t="s">
        <v>960</v>
      </c>
      <c r="C244" s="94" t="s">
        <v>961</v>
      </c>
      <c r="D244" s="94" t="s">
        <v>133</v>
      </c>
      <c r="F244" s="98">
        <f>'Jurisdictional Study'!F1021</f>
        <v>705212.62453061063</v>
      </c>
      <c r="H244" s="98">
        <f t="shared" si="194"/>
        <v>0</v>
      </c>
      <c r="I244" s="98">
        <f t="shared" si="195"/>
        <v>0</v>
      </c>
      <c r="J244" s="98">
        <f t="shared" si="196"/>
        <v>0</v>
      </c>
      <c r="K244" s="98">
        <f t="shared" si="197"/>
        <v>0</v>
      </c>
      <c r="L244" s="98">
        <f t="shared" si="198"/>
        <v>0</v>
      </c>
      <c r="M244" s="98">
        <f t="shared" si="199"/>
        <v>0</v>
      </c>
      <c r="N244" s="98"/>
      <c r="O244" s="98">
        <f t="shared" si="200"/>
        <v>0</v>
      </c>
      <c r="P244" s="98">
        <f t="shared" si="201"/>
        <v>0</v>
      </c>
      <c r="Q244" s="98">
        <f t="shared" si="202"/>
        <v>0</v>
      </c>
      <c r="R244" s="98"/>
      <c r="S244" s="98">
        <f t="shared" si="203"/>
        <v>0</v>
      </c>
      <c r="T244" s="98">
        <f t="shared" si="204"/>
        <v>705212.62453061063</v>
      </c>
      <c r="U244" s="98">
        <f t="shared" si="205"/>
        <v>0</v>
      </c>
      <c r="V244" s="98">
        <f t="shared" si="206"/>
        <v>0</v>
      </c>
      <c r="W244" s="98">
        <f t="shared" si="207"/>
        <v>0</v>
      </c>
      <c r="X244" s="98">
        <f t="shared" si="208"/>
        <v>0</v>
      </c>
      <c r="Y244" s="98">
        <f t="shared" si="209"/>
        <v>0</v>
      </c>
      <c r="Z244" s="98">
        <f t="shared" si="210"/>
        <v>0</v>
      </c>
      <c r="AA244" s="98">
        <f t="shared" si="211"/>
        <v>0</v>
      </c>
      <c r="AB244" s="98">
        <f t="shared" si="212"/>
        <v>0</v>
      </c>
      <c r="AC244" s="98">
        <f t="shared" si="213"/>
        <v>0</v>
      </c>
      <c r="AD244" s="98">
        <f t="shared" si="214"/>
        <v>0</v>
      </c>
      <c r="AE244" s="98"/>
      <c r="AF244" s="98">
        <f t="shared" si="215"/>
        <v>0</v>
      </c>
      <c r="AG244" s="98"/>
      <c r="AH244" s="98">
        <f t="shared" si="216"/>
        <v>0</v>
      </c>
      <c r="AI244" s="98"/>
      <c r="AJ244" s="98">
        <f t="shared" si="217"/>
        <v>0</v>
      </c>
      <c r="AK244" s="98">
        <f t="shared" si="218"/>
        <v>705212.62453061063</v>
      </c>
      <c r="AL244" s="95" t="str">
        <f t="shared" si="219"/>
        <v>ok</v>
      </c>
    </row>
    <row r="245" spans="1:38" x14ac:dyDescent="0.25">
      <c r="A245" s="94">
        <v>582</v>
      </c>
      <c r="B245" s="94" t="s">
        <v>567</v>
      </c>
      <c r="C245" s="94" t="s">
        <v>573</v>
      </c>
      <c r="D245" s="94" t="s">
        <v>133</v>
      </c>
      <c r="F245" s="98">
        <f>'Jurisdictional Study'!F1022</f>
        <v>1404339.0968497675</v>
      </c>
      <c r="H245" s="98">
        <f t="shared" si="194"/>
        <v>0</v>
      </c>
      <c r="I245" s="98">
        <f t="shared" si="195"/>
        <v>0</v>
      </c>
      <c r="J245" s="98">
        <f t="shared" si="196"/>
        <v>0</v>
      </c>
      <c r="K245" s="98">
        <f t="shared" si="197"/>
        <v>0</v>
      </c>
      <c r="L245" s="98">
        <f t="shared" si="198"/>
        <v>0</v>
      </c>
      <c r="M245" s="98">
        <f t="shared" si="199"/>
        <v>0</v>
      </c>
      <c r="N245" s="98"/>
      <c r="O245" s="98">
        <f t="shared" si="200"/>
        <v>0</v>
      </c>
      <c r="P245" s="98">
        <f t="shared" si="201"/>
        <v>0</v>
      </c>
      <c r="Q245" s="98">
        <f t="shared" si="202"/>
        <v>0</v>
      </c>
      <c r="R245" s="98"/>
      <c r="S245" s="98">
        <f t="shared" si="203"/>
        <v>0</v>
      </c>
      <c r="T245" s="98">
        <f t="shared" si="204"/>
        <v>1404339.0968497675</v>
      </c>
      <c r="U245" s="98">
        <f t="shared" si="205"/>
        <v>0</v>
      </c>
      <c r="V245" s="98">
        <f t="shared" si="206"/>
        <v>0</v>
      </c>
      <c r="W245" s="98">
        <f t="shared" si="207"/>
        <v>0</v>
      </c>
      <c r="X245" s="98">
        <f t="shared" si="208"/>
        <v>0</v>
      </c>
      <c r="Y245" s="98">
        <f t="shared" si="209"/>
        <v>0</v>
      </c>
      <c r="Z245" s="98">
        <f t="shared" si="210"/>
        <v>0</v>
      </c>
      <c r="AA245" s="98">
        <f t="shared" si="211"/>
        <v>0</v>
      </c>
      <c r="AB245" s="98">
        <f t="shared" si="212"/>
        <v>0</v>
      </c>
      <c r="AC245" s="98">
        <f t="shared" si="213"/>
        <v>0</v>
      </c>
      <c r="AD245" s="98">
        <f t="shared" si="214"/>
        <v>0</v>
      </c>
      <c r="AE245" s="98"/>
      <c r="AF245" s="98">
        <f t="shared" si="215"/>
        <v>0</v>
      </c>
      <c r="AG245" s="98"/>
      <c r="AH245" s="98">
        <f t="shared" si="216"/>
        <v>0</v>
      </c>
      <c r="AI245" s="98"/>
      <c r="AJ245" s="98">
        <f t="shared" si="217"/>
        <v>0</v>
      </c>
      <c r="AK245" s="98">
        <f t="shared" si="218"/>
        <v>1404339.0968497675</v>
      </c>
      <c r="AL245" s="95" t="str">
        <f t="shared" si="219"/>
        <v>ok</v>
      </c>
    </row>
    <row r="246" spans="1:38" x14ac:dyDescent="0.25">
      <c r="A246" s="94">
        <v>583</v>
      </c>
      <c r="B246" s="94" t="s">
        <v>962</v>
      </c>
      <c r="C246" s="94" t="s">
        <v>963</v>
      </c>
      <c r="D246" s="94" t="s">
        <v>136</v>
      </c>
      <c r="F246" s="98">
        <f>'Jurisdictional Study'!F1023</f>
        <v>3298413.3216719995</v>
      </c>
      <c r="H246" s="98">
        <f t="shared" si="194"/>
        <v>0</v>
      </c>
      <c r="I246" s="98">
        <f t="shared" si="195"/>
        <v>0</v>
      </c>
      <c r="J246" s="98">
        <f t="shared" si="196"/>
        <v>0</v>
      </c>
      <c r="K246" s="98">
        <f t="shared" si="197"/>
        <v>0</v>
      </c>
      <c r="L246" s="98">
        <f t="shared" si="198"/>
        <v>0</v>
      </c>
      <c r="M246" s="98">
        <f t="shared" si="199"/>
        <v>0</v>
      </c>
      <c r="N246" s="98"/>
      <c r="O246" s="98">
        <f t="shared" si="200"/>
        <v>0</v>
      </c>
      <c r="P246" s="98">
        <f t="shared" si="201"/>
        <v>0</v>
      </c>
      <c r="Q246" s="98">
        <f t="shared" si="202"/>
        <v>0</v>
      </c>
      <c r="R246" s="98"/>
      <c r="S246" s="98">
        <f t="shared" si="203"/>
        <v>0</v>
      </c>
      <c r="T246" s="98">
        <f t="shared" si="204"/>
        <v>0</v>
      </c>
      <c r="U246" s="98">
        <f t="shared" si="205"/>
        <v>0</v>
      </c>
      <c r="V246" s="98">
        <f t="shared" si="206"/>
        <v>1273698.796230251</v>
      </c>
      <c r="W246" s="98">
        <f t="shared" si="207"/>
        <v>1529952.5271909484</v>
      </c>
      <c r="X246" s="98">
        <f t="shared" si="208"/>
        <v>224770.37580533841</v>
      </c>
      <c r="Y246" s="98">
        <f t="shared" si="209"/>
        <v>269991.62244546151</v>
      </c>
      <c r="Z246" s="98">
        <f t="shared" si="210"/>
        <v>0</v>
      </c>
      <c r="AA246" s="98">
        <f t="shared" si="211"/>
        <v>0</v>
      </c>
      <c r="AB246" s="98">
        <f t="shared" si="212"/>
        <v>0</v>
      </c>
      <c r="AC246" s="98">
        <f t="shared" si="213"/>
        <v>0</v>
      </c>
      <c r="AD246" s="98">
        <f t="shared" si="214"/>
        <v>0</v>
      </c>
      <c r="AE246" s="98"/>
      <c r="AF246" s="98">
        <f t="shared" si="215"/>
        <v>0</v>
      </c>
      <c r="AG246" s="98"/>
      <c r="AH246" s="98">
        <f t="shared" si="216"/>
        <v>0</v>
      </c>
      <c r="AI246" s="98"/>
      <c r="AJ246" s="98">
        <f t="shared" si="217"/>
        <v>0</v>
      </c>
      <c r="AK246" s="98">
        <f t="shared" si="218"/>
        <v>3298413.3216719991</v>
      </c>
      <c r="AL246" s="95" t="str">
        <f t="shared" si="219"/>
        <v>ok</v>
      </c>
    </row>
    <row r="247" spans="1:38" x14ac:dyDescent="0.25">
      <c r="A247" s="94">
        <v>584</v>
      </c>
      <c r="B247" s="94" t="s">
        <v>964</v>
      </c>
      <c r="C247" s="94" t="s">
        <v>965</v>
      </c>
      <c r="D247" s="94" t="s">
        <v>139</v>
      </c>
      <c r="F247" s="98">
        <f>'Jurisdictional Study'!F1024</f>
        <v>255302.14618050162</v>
      </c>
      <c r="H247" s="98">
        <f t="shared" si="194"/>
        <v>0</v>
      </c>
      <c r="I247" s="98">
        <f t="shared" si="195"/>
        <v>0</v>
      </c>
      <c r="J247" s="98">
        <f t="shared" si="196"/>
        <v>0</v>
      </c>
      <c r="K247" s="98">
        <f t="shared" si="197"/>
        <v>0</v>
      </c>
      <c r="L247" s="98">
        <f t="shared" si="198"/>
        <v>0</v>
      </c>
      <c r="M247" s="98">
        <f t="shared" si="199"/>
        <v>0</v>
      </c>
      <c r="N247" s="98"/>
      <c r="O247" s="98">
        <f t="shared" si="200"/>
        <v>0</v>
      </c>
      <c r="P247" s="98">
        <f t="shared" si="201"/>
        <v>0</v>
      </c>
      <c r="Q247" s="98">
        <f t="shared" si="202"/>
        <v>0</v>
      </c>
      <c r="R247" s="98"/>
      <c r="S247" s="98">
        <f t="shared" si="203"/>
        <v>0</v>
      </c>
      <c r="T247" s="98">
        <f t="shared" si="204"/>
        <v>0</v>
      </c>
      <c r="U247" s="98">
        <f t="shared" si="205"/>
        <v>0</v>
      </c>
      <c r="V247" s="98">
        <f t="shared" si="206"/>
        <v>53795.991732424402</v>
      </c>
      <c r="W247" s="98">
        <f t="shared" si="207"/>
        <v>163210.83252100198</v>
      </c>
      <c r="X247" s="98">
        <f t="shared" si="208"/>
        <v>9493.4103057219527</v>
      </c>
      <c r="Y247" s="98">
        <f t="shared" si="209"/>
        <v>28801.911621353291</v>
      </c>
      <c r="Z247" s="98">
        <f t="shared" si="210"/>
        <v>0</v>
      </c>
      <c r="AA247" s="98">
        <f t="shared" si="211"/>
        <v>0</v>
      </c>
      <c r="AB247" s="98">
        <f t="shared" si="212"/>
        <v>0</v>
      </c>
      <c r="AC247" s="98">
        <f t="shared" si="213"/>
        <v>0</v>
      </c>
      <c r="AD247" s="98">
        <f t="shared" si="214"/>
        <v>0</v>
      </c>
      <c r="AE247" s="98"/>
      <c r="AF247" s="98">
        <f t="shared" si="215"/>
        <v>0</v>
      </c>
      <c r="AG247" s="98"/>
      <c r="AH247" s="98">
        <f t="shared" si="216"/>
        <v>0</v>
      </c>
      <c r="AI247" s="98"/>
      <c r="AJ247" s="98">
        <f t="shared" si="217"/>
        <v>0</v>
      </c>
      <c r="AK247" s="98">
        <f t="shared" si="218"/>
        <v>255302.14618050164</v>
      </c>
      <c r="AL247" s="95" t="str">
        <f t="shared" si="219"/>
        <v>ok</v>
      </c>
    </row>
    <row r="248" spans="1:38" x14ac:dyDescent="0.25">
      <c r="A248" s="94">
        <v>585</v>
      </c>
      <c r="B248" s="94" t="s">
        <v>966</v>
      </c>
      <c r="C248" s="94" t="s">
        <v>448</v>
      </c>
      <c r="D248" s="94" t="s">
        <v>198</v>
      </c>
      <c r="F248" s="98">
        <f>'Jurisdictional Study'!F1025</f>
        <v>21917.735759139156</v>
      </c>
      <c r="H248" s="98">
        <f t="shared" si="194"/>
        <v>0</v>
      </c>
      <c r="I248" s="98">
        <f t="shared" si="195"/>
        <v>0</v>
      </c>
      <c r="J248" s="98">
        <f t="shared" si="196"/>
        <v>0</v>
      </c>
      <c r="K248" s="98">
        <f t="shared" si="197"/>
        <v>0</v>
      </c>
      <c r="L248" s="98">
        <f t="shared" si="198"/>
        <v>0</v>
      </c>
      <c r="M248" s="98">
        <f t="shared" si="199"/>
        <v>0</v>
      </c>
      <c r="N248" s="98"/>
      <c r="O248" s="98">
        <f t="shared" si="200"/>
        <v>0</v>
      </c>
      <c r="P248" s="98">
        <f t="shared" si="201"/>
        <v>0</v>
      </c>
      <c r="Q248" s="98">
        <f t="shared" si="202"/>
        <v>0</v>
      </c>
      <c r="R248" s="98"/>
      <c r="S248" s="98">
        <f t="shared" si="203"/>
        <v>0</v>
      </c>
      <c r="T248" s="98">
        <f t="shared" si="204"/>
        <v>0</v>
      </c>
      <c r="U248" s="98">
        <f t="shared" si="205"/>
        <v>0</v>
      </c>
      <c r="V248" s="98">
        <f t="shared" si="206"/>
        <v>0</v>
      </c>
      <c r="W248" s="98">
        <f t="shared" si="207"/>
        <v>0</v>
      </c>
      <c r="X248" s="98">
        <f t="shared" si="208"/>
        <v>0</v>
      </c>
      <c r="Y248" s="98">
        <f t="shared" si="209"/>
        <v>0</v>
      </c>
      <c r="Z248" s="98">
        <f t="shared" si="210"/>
        <v>0</v>
      </c>
      <c r="AA248" s="98">
        <f t="shared" si="211"/>
        <v>0</v>
      </c>
      <c r="AB248" s="98">
        <f t="shared" si="212"/>
        <v>0</v>
      </c>
      <c r="AC248" s="98">
        <f t="shared" si="213"/>
        <v>0</v>
      </c>
      <c r="AD248" s="98">
        <f t="shared" si="214"/>
        <v>21917.735759139156</v>
      </c>
      <c r="AE248" s="98"/>
      <c r="AF248" s="98">
        <f t="shared" si="215"/>
        <v>0</v>
      </c>
      <c r="AG248" s="98"/>
      <c r="AH248" s="98">
        <f t="shared" si="216"/>
        <v>0</v>
      </c>
      <c r="AI248" s="98"/>
      <c r="AJ248" s="98">
        <f t="shared" si="217"/>
        <v>0</v>
      </c>
      <c r="AK248" s="98">
        <f t="shared" si="218"/>
        <v>21917.735759139156</v>
      </c>
      <c r="AL248" s="95" t="str">
        <f t="shared" si="219"/>
        <v>ok</v>
      </c>
    </row>
    <row r="249" spans="1:38" x14ac:dyDescent="0.25">
      <c r="A249" s="94">
        <v>586</v>
      </c>
      <c r="B249" s="94" t="s">
        <v>449</v>
      </c>
      <c r="C249" s="94" t="s">
        <v>450</v>
      </c>
      <c r="D249" s="94" t="s">
        <v>195</v>
      </c>
      <c r="F249" s="98">
        <f>'Jurisdictional Study'!F1026</f>
        <v>7329418.9115222199</v>
      </c>
      <c r="H249" s="98">
        <f t="shared" si="194"/>
        <v>0</v>
      </c>
      <c r="I249" s="98">
        <f t="shared" si="195"/>
        <v>0</v>
      </c>
      <c r="J249" s="98">
        <f t="shared" si="196"/>
        <v>0</v>
      </c>
      <c r="K249" s="98">
        <f t="shared" si="197"/>
        <v>0</v>
      </c>
      <c r="L249" s="98">
        <f t="shared" si="198"/>
        <v>0</v>
      </c>
      <c r="M249" s="98">
        <f t="shared" si="199"/>
        <v>0</v>
      </c>
      <c r="N249" s="98"/>
      <c r="O249" s="98">
        <f t="shared" si="200"/>
        <v>0</v>
      </c>
      <c r="P249" s="98">
        <f t="shared" si="201"/>
        <v>0</v>
      </c>
      <c r="Q249" s="98">
        <f t="shared" si="202"/>
        <v>0</v>
      </c>
      <c r="R249" s="98"/>
      <c r="S249" s="98">
        <f t="shared" si="203"/>
        <v>0</v>
      </c>
      <c r="T249" s="98">
        <f t="shared" si="204"/>
        <v>0</v>
      </c>
      <c r="U249" s="98">
        <f t="shared" si="205"/>
        <v>0</v>
      </c>
      <c r="V249" s="98">
        <f t="shared" si="206"/>
        <v>0</v>
      </c>
      <c r="W249" s="98">
        <f t="shared" si="207"/>
        <v>0</v>
      </c>
      <c r="X249" s="98">
        <f t="shared" si="208"/>
        <v>0</v>
      </c>
      <c r="Y249" s="98">
        <f t="shared" si="209"/>
        <v>0</v>
      </c>
      <c r="Z249" s="98">
        <f t="shared" si="210"/>
        <v>0</v>
      </c>
      <c r="AA249" s="98">
        <f t="shared" si="211"/>
        <v>0</v>
      </c>
      <c r="AB249" s="98">
        <f t="shared" si="212"/>
        <v>0</v>
      </c>
      <c r="AC249" s="98">
        <f t="shared" si="213"/>
        <v>7329418.9115222199</v>
      </c>
      <c r="AD249" s="98">
        <f t="shared" si="214"/>
        <v>0</v>
      </c>
      <c r="AE249" s="98"/>
      <c r="AF249" s="98">
        <f t="shared" si="215"/>
        <v>0</v>
      </c>
      <c r="AG249" s="98"/>
      <c r="AH249" s="98">
        <f t="shared" si="216"/>
        <v>0</v>
      </c>
      <c r="AI249" s="98"/>
      <c r="AJ249" s="98">
        <f t="shared" si="217"/>
        <v>0</v>
      </c>
      <c r="AK249" s="98">
        <f t="shared" si="218"/>
        <v>7329418.9115222199</v>
      </c>
      <c r="AL249" s="95" t="str">
        <f t="shared" si="219"/>
        <v>ok</v>
      </c>
    </row>
    <row r="250" spans="1:38" x14ac:dyDescent="0.25">
      <c r="A250" s="94">
        <v>586</v>
      </c>
      <c r="B250" s="94" t="s">
        <v>1712</v>
      </c>
      <c r="C250" s="94" t="s">
        <v>1713</v>
      </c>
      <c r="D250" s="94" t="s">
        <v>1251</v>
      </c>
      <c r="F250" s="98">
        <v>0</v>
      </c>
      <c r="H250" s="98">
        <f t="shared" si="194"/>
        <v>0</v>
      </c>
      <c r="I250" s="98">
        <f t="shared" si="195"/>
        <v>0</v>
      </c>
      <c r="J250" s="98">
        <f t="shared" si="196"/>
        <v>0</v>
      </c>
      <c r="K250" s="98">
        <f t="shared" si="197"/>
        <v>0</v>
      </c>
      <c r="L250" s="98">
        <f t="shared" si="198"/>
        <v>0</v>
      </c>
      <c r="M250" s="98">
        <f t="shared" si="199"/>
        <v>0</v>
      </c>
      <c r="N250" s="98"/>
      <c r="O250" s="98">
        <f t="shared" si="200"/>
        <v>0</v>
      </c>
      <c r="P250" s="98">
        <f t="shared" si="201"/>
        <v>0</v>
      </c>
      <c r="Q250" s="98">
        <f t="shared" si="202"/>
        <v>0</v>
      </c>
      <c r="R250" s="98"/>
      <c r="S250" s="98">
        <f t="shared" si="203"/>
        <v>0</v>
      </c>
      <c r="T250" s="98">
        <f t="shared" si="204"/>
        <v>0</v>
      </c>
      <c r="U250" s="98">
        <f t="shared" si="205"/>
        <v>0</v>
      </c>
      <c r="V250" s="98">
        <f t="shared" si="206"/>
        <v>0</v>
      </c>
      <c r="W250" s="98">
        <f t="shared" si="207"/>
        <v>0</v>
      </c>
      <c r="X250" s="98">
        <f t="shared" si="208"/>
        <v>0</v>
      </c>
      <c r="Y250" s="98">
        <f t="shared" si="209"/>
        <v>0</v>
      </c>
      <c r="Z250" s="98">
        <f t="shared" si="210"/>
        <v>0</v>
      </c>
      <c r="AA250" s="98">
        <f t="shared" si="211"/>
        <v>0</v>
      </c>
      <c r="AB250" s="98">
        <f t="shared" si="212"/>
        <v>0</v>
      </c>
      <c r="AC250" s="98">
        <f t="shared" si="213"/>
        <v>0</v>
      </c>
      <c r="AD250" s="98">
        <f t="shared" si="214"/>
        <v>0</v>
      </c>
      <c r="AE250" s="98"/>
      <c r="AF250" s="98">
        <f t="shared" si="215"/>
        <v>0</v>
      </c>
      <c r="AG250" s="98"/>
      <c r="AH250" s="98">
        <f t="shared" si="216"/>
        <v>0</v>
      </c>
      <c r="AI250" s="98"/>
      <c r="AJ250" s="98">
        <f t="shared" si="217"/>
        <v>0</v>
      </c>
      <c r="AK250" s="98">
        <f t="shared" si="218"/>
        <v>0</v>
      </c>
      <c r="AL250" s="95" t="str">
        <f>IF(ABS(AK250-F250)&lt;1,"ok","err")</f>
        <v>ok</v>
      </c>
    </row>
    <row r="251" spans="1:38" x14ac:dyDescent="0.25">
      <c r="A251" s="94">
        <v>587</v>
      </c>
      <c r="B251" s="94" t="s">
        <v>451</v>
      </c>
      <c r="C251" s="94" t="s">
        <v>452</v>
      </c>
      <c r="D251" s="94" t="s">
        <v>197</v>
      </c>
      <c r="F251" s="98">
        <f>'Jurisdictional Study'!F1027</f>
        <v>-70814.303211158403</v>
      </c>
      <c r="H251" s="98">
        <f t="shared" si="194"/>
        <v>0</v>
      </c>
      <c r="I251" s="98">
        <f t="shared" si="195"/>
        <v>0</v>
      </c>
      <c r="J251" s="98">
        <f t="shared" si="196"/>
        <v>0</v>
      </c>
      <c r="K251" s="98">
        <f t="shared" si="197"/>
        <v>0</v>
      </c>
      <c r="L251" s="98">
        <f t="shared" si="198"/>
        <v>0</v>
      </c>
      <c r="M251" s="98">
        <f t="shared" si="199"/>
        <v>0</v>
      </c>
      <c r="N251" s="98"/>
      <c r="O251" s="98">
        <f t="shared" si="200"/>
        <v>0</v>
      </c>
      <c r="P251" s="98">
        <f t="shared" si="201"/>
        <v>0</v>
      </c>
      <c r="Q251" s="98">
        <f t="shared" si="202"/>
        <v>0</v>
      </c>
      <c r="R251" s="98"/>
      <c r="S251" s="98">
        <f t="shared" si="203"/>
        <v>0</v>
      </c>
      <c r="T251" s="98">
        <f t="shared" si="204"/>
        <v>0</v>
      </c>
      <c r="U251" s="98">
        <f t="shared" si="205"/>
        <v>0</v>
      </c>
      <c r="V251" s="98">
        <f t="shared" si="206"/>
        <v>0</v>
      </c>
      <c r="W251" s="98">
        <f t="shared" si="207"/>
        <v>0</v>
      </c>
      <c r="X251" s="98">
        <f t="shared" si="208"/>
        <v>0</v>
      </c>
      <c r="Y251" s="98">
        <f t="shared" si="209"/>
        <v>0</v>
      </c>
      <c r="Z251" s="98">
        <f t="shared" si="210"/>
        <v>0</v>
      </c>
      <c r="AA251" s="98">
        <f t="shared" si="211"/>
        <v>0</v>
      </c>
      <c r="AB251" s="98">
        <f t="shared" si="212"/>
        <v>0</v>
      </c>
      <c r="AC251" s="98">
        <f t="shared" si="213"/>
        <v>0</v>
      </c>
      <c r="AD251" s="98">
        <f t="shared" si="214"/>
        <v>-70814.303211158403</v>
      </c>
      <c r="AE251" s="98"/>
      <c r="AF251" s="98">
        <f t="shared" si="215"/>
        <v>0</v>
      </c>
      <c r="AG251" s="98"/>
      <c r="AH251" s="98">
        <f t="shared" si="216"/>
        <v>0</v>
      </c>
      <c r="AI251" s="98"/>
      <c r="AJ251" s="98">
        <f t="shared" si="217"/>
        <v>0</v>
      </c>
      <c r="AK251" s="98">
        <f t="shared" si="218"/>
        <v>-70814.303211158403</v>
      </c>
      <c r="AL251" s="95" t="str">
        <f>IF(ABS(AK251-F251)&lt;1,"ok","err")</f>
        <v>ok</v>
      </c>
    </row>
    <row r="252" spans="1:38" x14ac:dyDescent="0.25">
      <c r="A252" s="94">
        <v>588</v>
      </c>
      <c r="B252" s="94" t="s">
        <v>453</v>
      </c>
      <c r="C252" s="94" t="s">
        <v>454</v>
      </c>
      <c r="D252" s="94" t="s">
        <v>129</v>
      </c>
      <c r="F252" s="98">
        <f>'Jurisdictional Study'!F1028</f>
        <v>4706180.4772456363</v>
      </c>
      <c r="H252" s="98">
        <f t="shared" si="194"/>
        <v>0</v>
      </c>
      <c r="I252" s="98">
        <f t="shared" si="195"/>
        <v>0</v>
      </c>
      <c r="J252" s="98">
        <f t="shared" si="196"/>
        <v>0</v>
      </c>
      <c r="K252" s="98">
        <f t="shared" si="197"/>
        <v>0</v>
      </c>
      <c r="L252" s="98">
        <f t="shared" si="198"/>
        <v>0</v>
      </c>
      <c r="M252" s="98">
        <f t="shared" si="199"/>
        <v>0</v>
      </c>
      <c r="N252" s="98"/>
      <c r="O252" s="98">
        <f t="shared" si="200"/>
        <v>0</v>
      </c>
      <c r="P252" s="98">
        <f t="shared" si="201"/>
        <v>0</v>
      </c>
      <c r="Q252" s="98">
        <f t="shared" si="202"/>
        <v>0</v>
      </c>
      <c r="R252" s="98"/>
      <c r="S252" s="98">
        <f t="shared" si="203"/>
        <v>0</v>
      </c>
      <c r="T252" s="98">
        <f t="shared" si="204"/>
        <v>511239.52036188939</v>
      </c>
      <c r="U252" s="98">
        <f t="shared" si="205"/>
        <v>0</v>
      </c>
      <c r="V252" s="98">
        <f t="shared" si="206"/>
        <v>828021.84342210134</v>
      </c>
      <c r="W252" s="98">
        <f t="shared" si="207"/>
        <v>1185148.2121633221</v>
      </c>
      <c r="X252" s="98">
        <f t="shared" si="208"/>
        <v>146121.50178037083</v>
      </c>
      <c r="Y252" s="98">
        <f t="shared" si="209"/>
        <v>209143.80214646863</v>
      </c>
      <c r="Z252" s="98">
        <f t="shared" si="210"/>
        <v>514309.483435022</v>
      </c>
      <c r="AA252" s="98">
        <f t="shared" si="211"/>
        <v>440059.57099997887</v>
      </c>
      <c r="AB252" s="98">
        <f t="shared" si="212"/>
        <v>295000.43480643892</v>
      </c>
      <c r="AC252" s="98">
        <f t="shared" si="213"/>
        <v>233778.99782067386</v>
      </c>
      <c r="AD252" s="98">
        <f t="shared" si="214"/>
        <v>343357.11030936887</v>
      </c>
      <c r="AE252" s="98"/>
      <c r="AF252" s="98">
        <f t="shared" si="215"/>
        <v>0</v>
      </c>
      <c r="AG252" s="98"/>
      <c r="AH252" s="98">
        <f t="shared" si="216"/>
        <v>0</v>
      </c>
      <c r="AI252" s="98"/>
      <c r="AJ252" s="98">
        <f t="shared" si="217"/>
        <v>0</v>
      </c>
      <c r="AK252" s="98">
        <f t="shared" si="218"/>
        <v>4706180.4772456354</v>
      </c>
      <c r="AL252" s="95" t="str">
        <f t="shared" si="219"/>
        <v>ok</v>
      </c>
    </row>
    <row r="253" spans="1:38" x14ac:dyDescent="0.25">
      <c r="A253" s="94">
        <v>588</v>
      </c>
      <c r="B253" s="94" t="s">
        <v>1223</v>
      </c>
      <c r="C253" s="94" t="s">
        <v>1327</v>
      </c>
      <c r="D253" s="94" t="s">
        <v>129</v>
      </c>
      <c r="F253" s="98">
        <v>0</v>
      </c>
      <c r="H253" s="98">
        <f t="shared" si="194"/>
        <v>0</v>
      </c>
      <c r="I253" s="98">
        <f t="shared" si="195"/>
        <v>0</v>
      </c>
      <c r="J253" s="98">
        <f t="shared" si="196"/>
        <v>0</v>
      </c>
      <c r="K253" s="98">
        <f t="shared" si="197"/>
        <v>0</v>
      </c>
      <c r="L253" s="98">
        <f t="shared" si="198"/>
        <v>0</v>
      </c>
      <c r="M253" s="98">
        <f t="shared" si="199"/>
        <v>0</v>
      </c>
      <c r="N253" s="98"/>
      <c r="O253" s="98">
        <f t="shared" si="200"/>
        <v>0</v>
      </c>
      <c r="P253" s="98">
        <f t="shared" si="201"/>
        <v>0</v>
      </c>
      <c r="Q253" s="98">
        <f t="shared" si="202"/>
        <v>0</v>
      </c>
      <c r="R253" s="98"/>
      <c r="S253" s="98">
        <f t="shared" si="203"/>
        <v>0</v>
      </c>
      <c r="T253" s="98">
        <f t="shared" si="204"/>
        <v>0</v>
      </c>
      <c r="U253" s="98">
        <f t="shared" si="205"/>
        <v>0</v>
      </c>
      <c r="V253" s="98">
        <f t="shared" si="206"/>
        <v>0</v>
      </c>
      <c r="W253" s="98">
        <f t="shared" si="207"/>
        <v>0</v>
      </c>
      <c r="X253" s="98">
        <f t="shared" si="208"/>
        <v>0</v>
      </c>
      <c r="Y253" s="98">
        <f t="shared" si="209"/>
        <v>0</v>
      </c>
      <c r="Z253" s="98">
        <f t="shared" si="210"/>
        <v>0</v>
      </c>
      <c r="AA253" s="98">
        <f t="shared" si="211"/>
        <v>0</v>
      </c>
      <c r="AB253" s="98">
        <f t="shared" si="212"/>
        <v>0</v>
      </c>
      <c r="AC253" s="98">
        <f t="shared" si="213"/>
        <v>0</v>
      </c>
      <c r="AD253" s="98">
        <f t="shared" si="214"/>
        <v>0</v>
      </c>
      <c r="AE253" s="98"/>
      <c r="AF253" s="98">
        <f t="shared" si="215"/>
        <v>0</v>
      </c>
      <c r="AG253" s="98"/>
      <c r="AH253" s="98">
        <f t="shared" si="216"/>
        <v>0</v>
      </c>
      <c r="AI253" s="98"/>
      <c r="AJ253" s="98">
        <f t="shared" si="217"/>
        <v>0</v>
      </c>
      <c r="AK253" s="98">
        <f t="shared" si="218"/>
        <v>0</v>
      </c>
      <c r="AL253" s="95" t="str">
        <f t="shared" si="219"/>
        <v>ok</v>
      </c>
    </row>
    <row r="254" spans="1:38" x14ac:dyDescent="0.25">
      <c r="A254" s="94">
        <v>589</v>
      </c>
      <c r="B254" s="94" t="s">
        <v>455</v>
      </c>
      <c r="C254" s="94" t="s">
        <v>456</v>
      </c>
      <c r="D254" s="94" t="s">
        <v>129</v>
      </c>
      <c r="F254" s="98">
        <f>'Jurisdictional Study'!F1029</f>
        <v>10706.985806802817</v>
      </c>
      <c r="H254" s="98">
        <f t="shared" si="194"/>
        <v>0</v>
      </c>
      <c r="I254" s="98">
        <f t="shared" si="195"/>
        <v>0</v>
      </c>
      <c r="J254" s="98">
        <f t="shared" si="196"/>
        <v>0</v>
      </c>
      <c r="K254" s="98">
        <f t="shared" si="197"/>
        <v>0</v>
      </c>
      <c r="L254" s="98">
        <f t="shared" si="198"/>
        <v>0</v>
      </c>
      <c r="M254" s="98">
        <f t="shared" si="199"/>
        <v>0</v>
      </c>
      <c r="N254" s="98"/>
      <c r="O254" s="98">
        <f t="shared" si="200"/>
        <v>0</v>
      </c>
      <c r="P254" s="98">
        <f t="shared" si="201"/>
        <v>0</v>
      </c>
      <c r="Q254" s="98">
        <f t="shared" si="202"/>
        <v>0</v>
      </c>
      <c r="R254" s="98"/>
      <c r="S254" s="98">
        <f t="shared" si="203"/>
        <v>0</v>
      </c>
      <c r="T254" s="98">
        <f t="shared" si="204"/>
        <v>1163.1161012327079</v>
      </c>
      <c r="U254" s="98">
        <f t="shared" si="205"/>
        <v>0</v>
      </c>
      <c r="V254" s="98">
        <f t="shared" si="206"/>
        <v>1883.8245086665017</v>
      </c>
      <c r="W254" s="98">
        <f t="shared" si="207"/>
        <v>2696.3192652605339</v>
      </c>
      <c r="X254" s="98">
        <f t="shared" si="208"/>
        <v>332.43961917644145</v>
      </c>
      <c r="Y254" s="98">
        <f t="shared" si="209"/>
        <v>475.82104681068256</v>
      </c>
      <c r="Z254" s="98">
        <f t="shared" si="210"/>
        <v>1170.1005446067702</v>
      </c>
      <c r="AA254" s="98">
        <f t="shared" si="211"/>
        <v>1001.1752850587897</v>
      </c>
      <c r="AB254" s="98">
        <f t="shared" si="212"/>
        <v>671.15264358110619</v>
      </c>
      <c r="AC254" s="98">
        <f t="shared" si="213"/>
        <v>531.86834285188752</v>
      </c>
      <c r="AD254" s="98">
        <f t="shared" si="214"/>
        <v>781.16844955739214</v>
      </c>
      <c r="AE254" s="98"/>
      <c r="AF254" s="98">
        <f t="shared" si="215"/>
        <v>0</v>
      </c>
      <c r="AG254" s="98"/>
      <c r="AH254" s="98">
        <f t="shared" si="216"/>
        <v>0</v>
      </c>
      <c r="AI254" s="98"/>
      <c r="AJ254" s="98">
        <f t="shared" si="217"/>
        <v>0</v>
      </c>
      <c r="AK254" s="98">
        <f t="shared" si="218"/>
        <v>10706.985806802813</v>
      </c>
      <c r="AL254" s="95" t="str">
        <f t="shared" si="219"/>
        <v>ok</v>
      </c>
    </row>
    <row r="255" spans="1:38" x14ac:dyDescent="0.25">
      <c r="F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  <c r="AA255" s="98"/>
      <c r="AB255" s="98"/>
      <c r="AC255" s="98"/>
      <c r="AD255" s="98"/>
      <c r="AE255" s="98"/>
      <c r="AF255" s="98"/>
      <c r="AG255" s="98"/>
      <c r="AH255" s="98"/>
      <c r="AI255" s="98"/>
      <c r="AJ255" s="98"/>
      <c r="AL255" s="95"/>
    </row>
    <row r="256" spans="1:38" x14ac:dyDescent="0.25">
      <c r="A256" s="94" t="s">
        <v>457</v>
      </c>
      <c r="C256" s="94" t="s">
        <v>458</v>
      </c>
      <c r="F256" s="97">
        <f t="shared" ref="F256:M256" si="220">SUM(F243:F255)</f>
        <v>19547505.704441015</v>
      </c>
      <c r="G256" s="97">
        <f t="shared" si="220"/>
        <v>0</v>
      </c>
      <c r="H256" s="97">
        <f t="shared" si="220"/>
        <v>0</v>
      </c>
      <c r="I256" s="97">
        <f t="shared" si="220"/>
        <v>0</v>
      </c>
      <c r="J256" s="97">
        <f t="shared" si="220"/>
        <v>0</v>
      </c>
      <c r="K256" s="97">
        <f t="shared" si="220"/>
        <v>0</v>
      </c>
      <c r="L256" s="97">
        <f t="shared" si="220"/>
        <v>0</v>
      </c>
      <c r="M256" s="97">
        <f t="shared" si="220"/>
        <v>0</v>
      </c>
      <c r="N256" s="97"/>
      <c r="O256" s="97">
        <f>SUM(O243:O255)</f>
        <v>0</v>
      </c>
      <c r="P256" s="97">
        <f>SUM(P243:P255)</f>
        <v>0</v>
      </c>
      <c r="Q256" s="97">
        <f>SUM(Q243:Q255)</f>
        <v>0</v>
      </c>
      <c r="R256" s="97"/>
      <c r="S256" s="97">
        <f t="shared" ref="S256:AD256" si="221">SUM(S243:S255)</f>
        <v>0</v>
      </c>
      <c r="T256" s="97">
        <f t="shared" si="221"/>
        <v>2950572.8807407743</v>
      </c>
      <c r="U256" s="97">
        <f t="shared" si="221"/>
        <v>0</v>
      </c>
      <c r="V256" s="97">
        <f t="shared" si="221"/>
        <v>2362023.4944324228</v>
      </c>
      <c r="W256" s="97">
        <f t="shared" si="221"/>
        <v>3153520.4270982943</v>
      </c>
      <c r="X256" s="97">
        <f t="shared" si="221"/>
        <v>416827.6754880746</v>
      </c>
      <c r="Y256" s="97">
        <f t="shared" si="221"/>
        <v>556503.60478205199</v>
      </c>
      <c r="Z256" s="97">
        <f t="shared" si="221"/>
        <v>568951.22160381358</v>
      </c>
      <c r="AA256" s="97">
        <f t="shared" si="221"/>
        <v>486812.78211452661</v>
      </c>
      <c r="AB256" s="97">
        <f t="shared" si="221"/>
        <v>326342.14060333313</v>
      </c>
      <c r="AC256" s="97">
        <f t="shared" si="221"/>
        <v>8394238.2267622296</v>
      </c>
      <c r="AD256" s="97">
        <f t="shared" si="221"/>
        <v>331713.25081548793</v>
      </c>
      <c r="AE256" s="97"/>
      <c r="AF256" s="97">
        <f>SUM(AF243:AF255)</f>
        <v>0</v>
      </c>
      <c r="AG256" s="97"/>
      <c r="AH256" s="97">
        <f>SUM(AH243:AH255)</f>
        <v>0</v>
      </c>
      <c r="AI256" s="97"/>
      <c r="AJ256" s="97">
        <f>SUM(AJ243:AJ255)</f>
        <v>0</v>
      </c>
      <c r="AK256" s="98">
        <f>SUM(H256:AJ256)</f>
        <v>19547505.704441011</v>
      </c>
      <c r="AL256" s="95" t="str">
        <f>IF(ABS(AK256-F256)&lt;1,"ok","err")</f>
        <v>ok</v>
      </c>
    </row>
    <row r="257" spans="1:38" x14ac:dyDescent="0.25"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8"/>
      <c r="AL257" s="95"/>
    </row>
    <row r="258" spans="1:38" x14ac:dyDescent="0.25">
      <c r="A258" s="15" t="s">
        <v>379</v>
      </c>
      <c r="F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  <c r="AA258" s="98"/>
      <c r="AB258" s="98"/>
      <c r="AC258" s="98"/>
      <c r="AD258" s="98"/>
      <c r="AE258" s="98"/>
      <c r="AF258" s="98"/>
      <c r="AG258" s="98"/>
      <c r="AH258" s="98"/>
      <c r="AI258" s="98"/>
      <c r="AJ258" s="98"/>
      <c r="AL258" s="95"/>
    </row>
    <row r="259" spans="1:38" x14ac:dyDescent="0.25">
      <c r="F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  <c r="AA259" s="98"/>
      <c r="AB259" s="98"/>
      <c r="AC259" s="98"/>
      <c r="AD259" s="98"/>
      <c r="AE259" s="98"/>
      <c r="AF259" s="98"/>
      <c r="AG259" s="98"/>
      <c r="AH259" s="98"/>
      <c r="AI259" s="98"/>
      <c r="AJ259" s="98"/>
      <c r="AL259" s="95"/>
    </row>
    <row r="260" spans="1:38" x14ac:dyDescent="0.25">
      <c r="A260" s="16" t="s">
        <v>459</v>
      </c>
      <c r="F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  <c r="AA260" s="98"/>
      <c r="AB260" s="98"/>
      <c r="AC260" s="98"/>
      <c r="AD260" s="98"/>
      <c r="AE260" s="98"/>
      <c r="AF260" s="98"/>
      <c r="AG260" s="98"/>
      <c r="AH260" s="98"/>
      <c r="AI260" s="98"/>
      <c r="AJ260" s="98"/>
      <c r="AL260" s="95"/>
    </row>
    <row r="261" spans="1:38" x14ac:dyDescent="0.25">
      <c r="A261" s="94">
        <v>590</v>
      </c>
      <c r="B261" s="94" t="s">
        <v>460</v>
      </c>
      <c r="C261" s="94" t="s">
        <v>461</v>
      </c>
      <c r="D261" s="94" t="s">
        <v>1282</v>
      </c>
      <c r="F261" s="97">
        <f>'Jurisdictional Study'!F1031</f>
        <v>133026.31274286567</v>
      </c>
      <c r="H261" s="98">
        <f t="shared" ref="H261:H269" si="222">IF(VLOOKUP($D261,$C$5:$AJ$646,6,)=0,0,((VLOOKUP($D261,$C$5:$AJ$646,6,)/VLOOKUP($D261,$C$5:$AJ$646,4,))*$F261))</f>
        <v>0</v>
      </c>
      <c r="I261" s="98">
        <f t="shared" ref="I261:I269" si="223">IF(VLOOKUP($D261,$C$5:$AJ$646,7,)=0,0,((VLOOKUP($D261,$C$5:$AJ$646,7,)/VLOOKUP($D261,$C$5:$AJ$646,4,))*$F261))</f>
        <v>0</v>
      </c>
      <c r="J261" s="98">
        <f t="shared" ref="J261:J269" si="224">IF(VLOOKUP($D261,$C$5:$AJ$646,8,)=0,0,((VLOOKUP($D261,$C$5:$AJ$646,8,)/VLOOKUP($D261,$C$5:$AJ$646,4,))*$F261))</f>
        <v>0</v>
      </c>
      <c r="K261" s="98">
        <f t="shared" ref="K261:K269" si="225">IF(VLOOKUP($D261,$C$5:$AJ$646,9,)=0,0,((VLOOKUP($D261,$C$5:$AJ$646,9,)/VLOOKUP($D261,$C$5:$AJ$646,4,))*$F261))</f>
        <v>0</v>
      </c>
      <c r="L261" s="98">
        <f t="shared" ref="L261:L269" si="226">IF(VLOOKUP($D261,$C$5:$AJ$646,10,)=0,0,((VLOOKUP($D261,$C$5:$AJ$646,10,)/VLOOKUP($D261,$C$5:$AJ$646,4,))*$F261))</f>
        <v>0</v>
      </c>
      <c r="M261" s="98">
        <f t="shared" ref="M261:M269" si="227">IF(VLOOKUP($D261,$C$5:$AJ$646,11,)=0,0,((VLOOKUP($D261,$C$5:$AJ$646,11,)/VLOOKUP($D261,$C$5:$AJ$646,4,))*$F261))</f>
        <v>0</v>
      </c>
      <c r="N261" s="98"/>
      <c r="O261" s="98">
        <f t="shared" ref="O261:O269" si="228">IF(VLOOKUP($D261,$C$5:$AJ$646,13,)=0,0,((VLOOKUP($D261,$C$5:$AJ$646,13,)/VLOOKUP($D261,$C$5:$AJ$646,4,))*$F261))</f>
        <v>0</v>
      </c>
      <c r="P261" s="98">
        <f t="shared" ref="P261:P269" si="229">IF(VLOOKUP($D261,$C$5:$AJ$646,14,)=0,0,((VLOOKUP($D261,$C$5:$AJ$646,14,)/VLOOKUP($D261,$C$5:$AJ$646,4,))*$F261))</f>
        <v>0</v>
      </c>
      <c r="Q261" s="98">
        <f t="shared" ref="Q261:Q269" si="230">IF(VLOOKUP($D261,$C$5:$AJ$646,15,)=0,0,((VLOOKUP($D261,$C$5:$AJ$646,15,)/VLOOKUP($D261,$C$5:$AJ$646,4,))*$F261))</f>
        <v>0</v>
      </c>
      <c r="R261" s="98"/>
      <c r="S261" s="98">
        <f t="shared" ref="S261:S269" si="231">IF(VLOOKUP($D261,$C$5:$AJ$646,17,)=0,0,((VLOOKUP($D261,$C$5:$AJ$646,17,)/VLOOKUP($D261,$C$5:$AJ$646,4,))*$F261))</f>
        <v>0</v>
      </c>
      <c r="T261" s="98">
        <f t="shared" ref="T261:T269" si="232">IF(VLOOKUP($D261,$C$5:$AJ$646,18,)=0,0,((VLOOKUP($D261,$C$5:$AJ$646,18,)/VLOOKUP($D261,$C$5:$AJ$646,4,))*$F261))</f>
        <v>6517.4451891626904</v>
      </c>
      <c r="U261" s="98">
        <f t="shared" ref="U261:U269" si="233">IF(VLOOKUP($D261,$C$5:$AJ$646,19,)=0,0,((VLOOKUP($D261,$C$5:$AJ$646,19,)/VLOOKUP($D261,$C$5:$AJ$646,4,))*$F261))</f>
        <v>0</v>
      </c>
      <c r="V261" s="98">
        <f t="shared" ref="V261:V269" si="234">IF(VLOOKUP($D261,$C$5:$AJ$646,20,)=0,0,((VLOOKUP($D261,$C$5:$AJ$646,20,)/VLOOKUP($D261,$C$5:$AJ$646,4,))*$F261))</f>
        <v>47557.203967763424</v>
      </c>
      <c r="W261" s="98">
        <f t="shared" ref="W261:W269" si="235">IF(VLOOKUP($D261,$C$5:$AJ$646,21,)=0,0,((VLOOKUP($D261,$C$5:$AJ$646,21,)/VLOOKUP($D261,$C$5:$AJ$646,4,))*$F261))</f>
        <v>58429.529812872759</v>
      </c>
      <c r="X261" s="98">
        <f t="shared" ref="X261:X269" si="236">IF(VLOOKUP($D261,$C$5:$AJ$646,22,)=0,0,((VLOOKUP($D261,$C$5:$AJ$646,22,)/VLOOKUP($D261,$C$5:$AJ$646,4,))*$F261))</f>
        <v>8392.4477590170773</v>
      </c>
      <c r="Y261" s="98">
        <f t="shared" ref="Y261:Y269" si="237">IF(VLOOKUP($D261,$C$5:$AJ$646,23,)=0,0,((VLOOKUP($D261,$C$5:$AJ$646,23,)/VLOOKUP($D261,$C$5:$AJ$646,4,))*$F261))</f>
        <v>10311.093496389314</v>
      </c>
      <c r="Z261" s="98">
        <f t="shared" ref="Z261:Z269" si="238">IF(VLOOKUP($D261,$C$5:$AJ$646,24,)=0,0,((VLOOKUP($D261,$C$5:$AJ$646,24,)/VLOOKUP($D261,$C$5:$AJ$646,4,))*$F261))</f>
        <v>851.92526127480335</v>
      </c>
      <c r="AA261" s="98">
        <f t="shared" ref="AA261:AA269" si="239">IF(VLOOKUP($D261,$C$5:$AJ$646,25,)=0,0,((VLOOKUP($D261,$C$5:$AJ$646,25,)/VLOOKUP($D261,$C$5:$AJ$646,4,))*$F261))</f>
        <v>728.93438109818476</v>
      </c>
      <c r="AB261" s="98">
        <f t="shared" ref="AB261:AB269" si="240">IF(VLOOKUP($D261,$C$5:$AJ$646,26,)=0,0,((VLOOKUP($D261,$C$5:$AJ$646,26,)/VLOOKUP($D261,$C$5:$AJ$646,4,))*$F261))</f>
        <v>80.41321298318077</v>
      </c>
      <c r="AC261" s="98">
        <f t="shared" ref="AC261:AC269" si="241">IF(VLOOKUP($D261,$C$5:$AJ$646,27,)=0,0,((VLOOKUP($D261,$C$5:$AJ$646,27,)/VLOOKUP($D261,$C$5:$AJ$646,4,))*$F261))</f>
        <v>63.725059778583343</v>
      </c>
      <c r="AD261" s="98">
        <f t="shared" ref="AD261:AD269" si="242">IF(VLOOKUP($D261,$C$5:$AJ$646,28,)=0,0,((VLOOKUP($D261,$C$5:$AJ$646,28,)/VLOOKUP($D261,$C$5:$AJ$646,4,))*$F261))</f>
        <v>93.594602525630336</v>
      </c>
      <c r="AE261" s="98"/>
      <c r="AF261" s="98">
        <f t="shared" ref="AF261:AF269" si="243">IF(VLOOKUP($D261,$C$5:$AJ$646,30,)=0,0,((VLOOKUP($D261,$C$5:$AJ$646,30,)/VLOOKUP($D261,$C$5:$AJ$646,4,))*$F261))</f>
        <v>0</v>
      </c>
      <c r="AG261" s="98"/>
      <c r="AH261" s="98">
        <f t="shared" ref="AH261:AH269" si="244">IF(VLOOKUP($D261,$C$5:$AJ$646,32,)=0,0,((VLOOKUP($D261,$C$5:$AJ$646,32,)/VLOOKUP($D261,$C$5:$AJ$646,4,))*$F261))</f>
        <v>0</v>
      </c>
      <c r="AI261" s="98"/>
      <c r="AJ261" s="98">
        <f t="shared" ref="AJ261:AJ269" si="245">IF(VLOOKUP($D261,$C$5:$AJ$646,34,)=0,0,((VLOOKUP($D261,$C$5:$AJ$646,34,)/VLOOKUP($D261,$C$5:$AJ$646,4,))*$F261))</f>
        <v>0</v>
      </c>
      <c r="AK261" s="98">
        <f t="shared" ref="AK261:AK269" si="246">SUM(H261:AJ261)</f>
        <v>133026.31274286564</v>
      </c>
      <c r="AL261" s="95" t="str">
        <f>IF(ABS(AK261-F261)&lt;1,"ok","err")</f>
        <v>ok</v>
      </c>
    </row>
    <row r="262" spans="1:38" x14ac:dyDescent="0.25">
      <c r="A262" s="94">
        <v>591</v>
      </c>
      <c r="B262" s="94" t="s">
        <v>1976</v>
      </c>
      <c r="C262" s="94" t="s">
        <v>1982</v>
      </c>
      <c r="D262" s="94" t="s">
        <v>133</v>
      </c>
      <c r="F262" s="170">
        <f>'Jurisdictional Study'!F1032</f>
        <v>0</v>
      </c>
      <c r="H262" s="98">
        <f t="shared" si="222"/>
        <v>0</v>
      </c>
      <c r="I262" s="98">
        <f t="shared" si="223"/>
        <v>0</v>
      </c>
      <c r="J262" s="98">
        <f t="shared" si="224"/>
        <v>0</v>
      </c>
      <c r="K262" s="98">
        <f t="shared" si="225"/>
        <v>0</v>
      </c>
      <c r="L262" s="98">
        <f t="shared" si="226"/>
        <v>0</v>
      </c>
      <c r="M262" s="98">
        <f t="shared" si="227"/>
        <v>0</v>
      </c>
      <c r="N262" s="98"/>
      <c r="O262" s="98">
        <f t="shared" si="228"/>
        <v>0</v>
      </c>
      <c r="P262" s="98">
        <f t="shared" si="229"/>
        <v>0</v>
      </c>
      <c r="Q262" s="98">
        <f t="shared" si="230"/>
        <v>0</v>
      </c>
      <c r="R262" s="98"/>
      <c r="S262" s="98">
        <f t="shared" si="231"/>
        <v>0</v>
      </c>
      <c r="T262" s="98">
        <f t="shared" si="232"/>
        <v>0</v>
      </c>
      <c r="U262" s="98">
        <f t="shared" si="233"/>
        <v>0</v>
      </c>
      <c r="V262" s="98">
        <f t="shared" si="234"/>
        <v>0</v>
      </c>
      <c r="W262" s="98">
        <f t="shared" si="235"/>
        <v>0</v>
      </c>
      <c r="X262" s="98">
        <f t="shared" si="236"/>
        <v>0</v>
      </c>
      <c r="Y262" s="98">
        <f t="shared" si="237"/>
        <v>0</v>
      </c>
      <c r="Z262" s="98">
        <f t="shared" si="238"/>
        <v>0</v>
      </c>
      <c r="AA262" s="98">
        <f t="shared" si="239"/>
        <v>0</v>
      </c>
      <c r="AB262" s="98">
        <f t="shared" si="240"/>
        <v>0</v>
      </c>
      <c r="AC262" s="98">
        <f t="shared" si="241"/>
        <v>0</v>
      </c>
      <c r="AD262" s="98">
        <f t="shared" si="242"/>
        <v>0</v>
      </c>
      <c r="AE262" s="98"/>
      <c r="AF262" s="98">
        <f t="shared" si="243"/>
        <v>0</v>
      </c>
      <c r="AG262" s="98"/>
      <c r="AH262" s="98">
        <f t="shared" si="244"/>
        <v>0</v>
      </c>
      <c r="AI262" s="98"/>
      <c r="AJ262" s="98">
        <f t="shared" si="245"/>
        <v>0</v>
      </c>
      <c r="AK262" s="98"/>
      <c r="AL262" s="95"/>
    </row>
    <row r="263" spans="1:38" x14ac:dyDescent="0.25">
      <c r="A263" s="94">
        <v>592</v>
      </c>
      <c r="B263" s="94" t="s">
        <v>462</v>
      </c>
      <c r="C263" s="94" t="s">
        <v>463</v>
      </c>
      <c r="D263" s="94" t="s">
        <v>133</v>
      </c>
      <c r="F263" s="170">
        <f>'Jurisdictional Study'!F1033</f>
        <v>649934.31301166757</v>
      </c>
      <c r="H263" s="98">
        <f t="shared" si="222"/>
        <v>0</v>
      </c>
      <c r="I263" s="98">
        <f t="shared" si="223"/>
        <v>0</v>
      </c>
      <c r="J263" s="98">
        <f t="shared" si="224"/>
        <v>0</v>
      </c>
      <c r="K263" s="98">
        <f t="shared" si="225"/>
        <v>0</v>
      </c>
      <c r="L263" s="98">
        <f t="shared" si="226"/>
        <v>0</v>
      </c>
      <c r="M263" s="98">
        <f t="shared" si="227"/>
        <v>0</v>
      </c>
      <c r="N263" s="98"/>
      <c r="O263" s="98">
        <f t="shared" si="228"/>
        <v>0</v>
      </c>
      <c r="P263" s="98">
        <f t="shared" si="229"/>
        <v>0</v>
      </c>
      <c r="Q263" s="98">
        <f t="shared" si="230"/>
        <v>0</v>
      </c>
      <c r="R263" s="98"/>
      <c r="S263" s="98">
        <f t="shared" si="231"/>
        <v>0</v>
      </c>
      <c r="T263" s="98">
        <f t="shared" si="232"/>
        <v>649934.31301166757</v>
      </c>
      <c r="U263" s="98">
        <f t="shared" si="233"/>
        <v>0</v>
      </c>
      <c r="V263" s="98">
        <f t="shared" si="234"/>
        <v>0</v>
      </c>
      <c r="W263" s="98">
        <f t="shared" si="235"/>
        <v>0</v>
      </c>
      <c r="X263" s="98">
        <f t="shared" si="236"/>
        <v>0</v>
      </c>
      <c r="Y263" s="98">
        <f t="shared" si="237"/>
        <v>0</v>
      </c>
      <c r="Z263" s="98">
        <f t="shared" si="238"/>
        <v>0</v>
      </c>
      <c r="AA263" s="98">
        <f t="shared" si="239"/>
        <v>0</v>
      </c>
      <c r="AB263" s="98">
        <f t="shared" si="240"/>
        <v>0</v>
      </c>
      <c r="AC263" s="98">
        <f t="shared" si="241"/>
        <v>0</v>
      </c>
      <c r="AD263" s="98">
        <f t="shared" si="242"/>
        <v>0</v>
      </c>
      <c r="AE263" s="98"/>
      <c r="AF263" s="98">
        <f t="shared" si="243"/>
        <v>0</v>
      </c>
      <c r="AG263" s="98"/>
      <c r="AH263" s="98">
        <f t="shared" si="244"/>
        <v>0</v>
      </c>
      <c r="AI263" s="98"/>
      <c r="AJ263" s="98">
        <f t="shared" si="245"/>
        <v>0</v>
      </c>
      <c r="AK263" s="98">
        <f t="shared" si="246"/>
        <v>649934.31301166757</v>
      </c>
      <c r="AL263" s="95" t="str">
        <f t="shared" ref="AL263:AL269" si="247">IF(ABS(AK263-F263)&lt;1,"ok","err")</f>
        <v>ok</v>
      </c>
    </row>
    <row r="264" spans="1:38" x14ac:dyDescent="0.25">
      <c r="A264" s="94">
        <v>593</v>
      </c>
      <c r="B264" s="94" t="s">
        <v>464</v>
      </c>
      <c r="C264" s="94" t="s">
        <v>465</v>
      </c>
      <c r="D264" s="94" t="s">
        <v>136</v>
      </c>
      <c r="F264" s="170">
        <f>'Jurisdictional Study'!F1034</f>
        <v>29856454.022518419</v>
      </c>
      <c r="H264" s="98">
        <f t="shared" si="222"/>
        <v>0</v>
      </c>
      <c r="I264" s="98">
        <f t="shared" si="223"/>
        <v>0</v>
      </c>
      <c r="J264" s="98">
        <f t="shared" si="224"/>
        <v>0</v>
      </c>
      <c r="K264" s="98">
        <f t="shared" si="225"/>
        <v>0</v>
      </c>
      <c r="L264" s="98">
        <f t="shared" si="226"/>
        <v>0</v>
      </c>
      <c r="M264" s="98">
        <f t="shared" si="227"/>
        <v>0</v>
      </c>
      <c r="N264" s="98"/>
      <c r="O264" s="98">
        <f t="shared" si="228"/>
        <v>0</v>
      </c>
      <c r="P264" s="98">
        <f t="shared" si="229"/>
        <v>0</v>
      </c>
      <c r="Q264" s="98">
        <f t="shared" si="230"/>
        <v>0</v>
      </c>
      <c r="R264" s="98"/>
      <c r="S264" s="98">
        <f t="shared" si="231"/>
        <v>0</v>
      </c>
      <c r="T264" s="98">
        <f t="shared" si="232"/>
        <v>0</v>
      </c>
      <c r="U264" s="98">
        <f t="shared" si="233"/>
        <v>0</v>
      </c>
      <c r="V264" s="98">
        <f t="shared" si="234"/>
        <v>11529219.003065599</v>
      </c>
      <c r="W264" s="98">
        <f t="shared" si="235"/>
        <v>13848766.916075055</v>
      </c>
      <c r="X264" s="98">
        <f t="shared" si="236"/>
        <v>2034568.0593645175</v>
      </c>
      <c r="Y264" s="98">
        <f t="shared" si="237"/>
        <v>2443900.044013245</v>
      </c>
      <c r="Z264" s="98">
        <f t="shared" si="238"/>
        <v>0</v>
      </c>
      <c r="AA264" s="98">
        <f t="shared" si="239"/>
        <v>0</v>
      </c>
      <c r="AB264" s="98">
        <f t="shared" si="240"/>
        <v>0</v>
      </c>
      <c r="AC264" s="98">
        <f t="shared" si="241"/>
        <v>0</v>
      </c>
      <c r="AD264" s="98">
        <f t="shared" si="242"/>
        <v>0</v>
      </c>
      <c r="AE264" s="98"/>
      <c r="AF264" s="98">
        <f t="shared" si="243"/>
        <v>0</v>
      </c>
      <c r="AG264" s="98"/>
      <c r="AH264" s="98">
        <f t="shared" si="244"/>
        <v>0</v>
      </c>
      <c r="AI264" s="98"/>
      <c r="AJ264" s="98">
        <f t="shared" si="245"/>
        <v>0</v>
      </c>
      <c r="AK264" s="98">
        <f t="shared" si="246"/>
        <v>29856454.022518411</v>
      </c>
      <c r="AL264" s="95" t="str">
        <f t="shared" si="247"/>
        <v>ok</v>
      </c>
    </row>
    <row r="265" spans="1:38" x14ac:dyDescent="0.25">
      <c r="A265" s="94">
        <v>594</v>
      </c>
      <c r="B265" s="94" t="s">
        <v>466</v>
      </c>
      <c r="C265" s="94" t="s">
        <v>467</v>
      </c>
      <c r="D265" s="94" t="s">
        <v>139</v>
      </c>
      <c r="F265" s="170">
        <f>'Jurisdictional Study'!F1035</f>
        <v>476334.51725653413</v>
      </c>
      <c r="H265" s="98">
        <f t="shared" si="222"/>
        <v>0</v>
      </c>
      <c r="I265" s="98">
        <f t="shared" si="223"/>
        <v>0</v>
      </c>
      <c r="J265" s="98">
        <f t="shared" si="224"/>
        <v>0</v>
      </c>
      <c r="K265" s="98">
        <f t="shared" si="225"/>
        <v>0</v>
      </c>
      <c r="L265" s="98">
        <f t="shared" si="226"/>
        <v>0</v>
      </c>
      <c r="M265" s="98">
        <f t="shared" si="227"/>
        <v>0</v>
      </c>
      <c r="N265" s="98"/>
      <c r="O265" s="98">
        <f t="shared" si="228"/>
        <v>0</v>
      </c>
      <c r="P265" s="98">
        <f t="shared" si="229"/>
        <v>0</v>
      </c>
      <c r="Q265" s="98">
        <f t="shared" si="230"/>
        <v>0</v>
      </c>
      <c r="R265" s="98"/>
      <c r="S265" s="98">
        <f t="shared" si="231"/>
        <v>0</v>
      </c>
      <c r="T265" s="98">
        <f t="shared" si="232"/>
        <v>0</v>
      </c>
      <c r="U265" s="98">
        <f t="shared" si="233"/>
        <v>0</v>
      </c>
      <c r="V265" s="98">
        <f t="shared" si="234"/>
        <v>100370.82780371059</v>
      </c>
      <c r="W265" s="98">
        <f t="shared" si="235"/>
        <v>304513.51186434343</v>
      </c>
      <c r="X265" s="98">
        <f t="shared" si="236"/>
        <v>17712.499024184224</v>
      </c>
      <c r="Y265" s="98">
        <f t="shared" si="237"/>
        <v>53737.6785642959</v>
      </c>
      <c r="Z265" s="98">
        <f t="shared" si="238"/>
        <v>0</v>
      </c>
      <c r="AA265" s="98">
        <f t="shared" si="239"/>
        <v>0</v>
      </c>
      <c r="AB265" s="98">
        <f t="shared" si="240"/>
        <v>0</v>
      </c>
      <c r="AC265" s="98">
        <f t="shared" si="241"/>
        <v>0</v>
      </c>
      <c r="AD265" s="98">
        <f t="shared" si="242"/>
        <v>0</v>
      </c>
      <c r="AE265" s="98"/>
      <c r="AF265" s="98">
        <f t="shared" si="243"/>
        <v>0</v>
      </c>
      <c r="AG265" s="98"/>
      <c r="AH265" s="98">
        <f t="shared" si="244"/>
        <v>0</v>
      </c>
      <c r="AI265" s="98"/>
      <c r="AJ265" s="98">
        <f t="shared" si="245"/>
        <v>0</v>
      </c>
      <c r="AK265" s="98">
        <f t="shared" si="246"/>
        <v>476334.51725653419</v>
      </c>
      <c r="AL265" s="95" t="str">
        <f t="shared" si="247"/>
        <v>ok</v>
      </c>
    </row>
    <row r="266" spans="1:38" x14ac:dyDescent="0.25">
      <c r="A266" s="94">
        <v>595</v>
      </c>
      <c r="B266" s="94" t="s">
        <v>468</v>
      </c>
      <c r="C266" s="94" t="s">
        <v>469</v>
      </c>
      <c r="D266" s="94" t="s">
        <v>140</v>
      </c>
      <c r="F266" s="170">
        <f>'Jurisdictional Study'!F1036</f>
        <v>187043.68488802123</v>
      </c>
      <c r="H266" s="98">
        <f t="shared" si="222"/>
        <v>0</v>
      </c>
      <c r="I266" s="98">
        <f t="shared" si="223"/>
        <v>0</v>
      </c>
      <c r="J266" s="98">
        <f t="shared" si="224"/>
        <v>0</v>
      </c>
      <c r="K266" s="98">
        <f t="shared" si="225"/>
        <v>0</v>
      </c>
      <c r="L266" s="98">
        <f t="shared" si="226"/>
        <v>0</v>
      </c>
      <c r="M266" s="98">
        <f t="shared" si="227"/>
        <v>0</v>
      </c>
      <c r="N266" s="98"/>
      <c r="O266" s="98">
        <f t="shared" si="228"/>
        <v>0</v>
      </c>
      <c r="P266" s="98">
        <f t="shared" si="229"/>
        <v>0</v>
      </c>
      <c r="Q266" s="98">
        <f t="shared" si="230"/>
        <v>0</v>
      </c>
      <c r="R266" s="98"/>
      <c r="S266" s="98">
        <f t="shared" si="231"/>
        <v>0</v>
      </c>
      <c r="T266" s="98">
        <f t="shared" si="232"/>
        <v>0</v>
      </c>
      <c r="U266" s="98">
        <f t="shared" si="233"/>
        <v>0</v>
      </c>
      <c r="V266" s="98">
        <f t="shared" si="234"/>
        <v>0</v>
      </c>
      <c r="W266" s="98">
        <f t="shared" si="235"/>
        <v>0</v>
      </c>
      <c r="X266" s="98">
        <f t="shared" si="236"/>
        <v>0</v>
      </c>
      <c r="Y266" s="98">
        <f t="shared" si="237"/>
        <v>0</v>
      </c>
      <c r="Z266" s="98">
        <f t="shared" si="238"/>
        <v>100797.84178615465</v>
      </c>
      <c r="AA266" s="98">
        <f t="shared" si="239"/>
        <v>86245.843101866587</v>
      </c>
      <c r="AB266" s="98">
        <f t="shared" si="240"/>
        <v>0</v>
      </c>
      <c r="AC266" s="98">
        <f t="shared" si="241"/>
        <v>0</v>
      </c>
      <c r="AD266" s="98">
        <f t="shared" si="242"/>
        <v>0</v>
      </c>
      <c r="AE266" s="98"/>
      <c r="AF266" s="98">
        <f t="shared" si="243"/>
        <v>0</v>
      </c>
      <c r="AG266" s="98"/>
      <c r="AH266" s="98">
        <f t="shared" si="244"/>
        <v>0</v>
      </c>
      <c r="AI266" s="98"/>
      <c r="AJ266" s="98">
        <f t="shared" si="245"/>
        <v>0</v>
      </c>
      <c r="AK266" s="98">
        <f t="shared" si="246"/>
        <v>187043.68488802123</v>
      </c>
      <c r="AL266" s="95" t="str">
        <f t="shared" si="247"/>
        <v>ok</v>
      </c>
    </row>
    <row r="267" spans="1:38" x14ac:dyDescent="0.25">
      <c r="A267" s="94">
        <v>596</v>
      </c>
      <c r="B267" s="94" t="s">
        <v>575</v>
      </c>
      <c r="C267" s="94" t="s">
        <v>576</v>
      </c>
      <c r="D267" s="94" t="s">
        <v>198</v>
      </c>
      <c r="F267" s="170">
        <f>'Jurisdictional Study'!F1037</f>
        <v>0</v>
      </c>
      <c r="H267" s="98">
        <f t="shared" si="222"/>
        <v>0</v>
      </c>
      <c r="I267" s="98">
        <f t="shared" si="223"/>
        <v>0</v>
      </c>
      <c r="J267" s="98">
        <f t="shared" si="224"/>
        <v>0</v>
      </c>
      <c r="K267" s="98">
        <f t="shared" si="225"/>
        <v>0</v>
      </c>
      <c r="L267" s="98">
        <f t="shared" si="226"/>
        <v>0</v>
      </c>
      <c r="M267" s="98">
        <f t="shared" si="227"/>
        <v>0</v>
      </c>
      <c r="N267" s="98"/>
      <c r="O267" s="98">
        <f t="shared" si="228"/>
        <v>0</v>
      </c>
      <c r="P267" s="98">
        <f t="shared" si="229"/>
        <v>0</v>
      </c>
      <c r="Q267" s="98">
        <f t="shared" si="230"/>
        <v>0</v>
      </c>
      <c r="R267" s="98"/>
      <c r="S267" s="98">
        <f t="shared" si="231"/>
        <v>0</v>
      </c>
      <c r="T267" s="98">
        <f t="shared" si="232"/>
        <v>0</v>
      </c>
      <c r="U267" s="98">
        <f t="shared" si="233"/>
        <v>0</v>
      </c>
      <c r="V267" s="98">
        <f t="shared" si="234"/>
        <v>0</v>
      </c>
      <c r="W267" s="98">
        <f t="shared" si="235"/>
        <v>0</v>
      </c>
      <c r="X267" s="98">
        <f t="shared" si="236"/>
        <v>0</v>
      </c>
      <c r="Y267" s="98">
        <f t="shared" si="237"/>
        <v>0</v>
      </c>
      <c r="Z267" s="98">
        <f t="shared" si="238"/>
        <v>0</v>
      </c>
      <c r="AA267" s="98">
        <f t="shared" si="239"/>
        <v>0</v>
      </c>
      <c r="AB267" s="98">
        <f t="shared" si="240"/>
        <v>0</v>
      </c>
      <c r="AC267" s="98">
        <f t="shared" si="241"/>
        <v>0</v>
      </c>
      <c r="AD267" s="98">
        <f t="shared" si="242"/>
        <v>0</v>
      </c>
      <c r="AE267" s="98"/>
      <c r="AF267" s="98">
        <f t="shared" si="243"/>
        <v>0</v>
      </c>
      <c r="AG267" s="98"/>
      <c r="AH267" s="98">
        <f t="shared" si="244"/>
        <v>0</v>
      </c>
      <c r="AI267" s="98"/>
      <c r="AJ267" s="98">
        <f t="shared" si="245"/>
        <v>0</v>
      </c>
      <c r="AK267" s="98">
        <f t="shared" si="246"/>
        <v>0</v>
      </c>
      <c r="AL267" s="95" t="str">
        <f t="shared" si="247"/>
        <v>ok</v>
      </c>
    </row>
    <row r="268" spans="1:38" x14ac:dyDescent="0.25">
      <c r="A268" s="94">
        <v>597</v>
      </c>
      <c r="B268" s="94" t="s">
        <v>470</v>
      </c>
      <c r="C268" s="94" t="s">
        <v>471</v>
      </c>
      <c r="D268" s="94" t="s">
        <v>195</v>
      </c>
      <c r="F268" s="170">
        <f>'Jurisdictional Study'!F1038</f>
        <v>0</v>
      </c>
      <c r="H268" s="98">
        <f t="shared" si="222"/>
        <v>0</v>
      </c>
      <c r="I268" s="98">
        <f t="shared" si="223"/>
        <v>0</v>
      </c>
      <c r="J268" s="98">
        <f t="shared" si="224"/>
        <v>0</v>
      </c>
      <c r="K268" s="98">
        <f t="shared" si="225"/>
        <v>0</v>
      </c>
      <c r="L268" s="98">
        <f t="shared" si="226"/>
        <v>0</v>
      </c>
      <c r="M268" s="98">
        <f t="shared" si="227"/>
        <v>0</v>
      </c>
      <c r="N268" s="98"/>
      <c r="O268" s="98">
        <f t="shared" si="228"/>
        <v>0</v>
      </c>
      <c r="P268" s="98">
        <f t="shared" si="229"/>
        <v>0</v>
      </c>
      <c r="Q268" s="98">
        <f t="shared" si="230"/>
        <v>0</v>
      </c>
      <c r="R268" s="98"/>
      <c r="S268" s="98">
        <f t="shared" si="231"/>
        <v>0</v>
      </c>
      <c r="T268" s="98">
        <f t="shared" si="232"/>
        <v>0</v>
      </c>
      <c r="U268" s="98">
        <f t="shared" si="233"/>
        <v>0</v>
      </c>
      <c r="V268" s="98">
        <f t="shared" si="234"/>
        <v>0</v>
      </c>
      <c r="W268" s="98">
        <f t="shared" si="235"/>
        <v>0</v>
      </c>
      <c r="X268" s="98">
        <f t="shared" si="236"/>
        <v>0</v>
      </c>
      <c r="Y268" s="98">
        <f t="shared" si="237"/>
        <v>0</v>
      </c>
      <c r="Z268" s="98">
        <f t="shared" si="238"/>
        <v>0</v>
      </c>
      <c r="AA268" s="98">
        <f t="shared" si="239"/>
        <v>0</v>
      </c>
      <c r="AB268" s="98">
        <f t="shared" si="240"/>
        <v>0</v>
      </c>
      <c r="AC268" s="98">
        <f t="shared" si="241"/>
        <v>0</v>
      </c>
      <c r="AD268" s="98">
        <f t="shared" si="242"/>
        <v>0</v>
      </c>
      <c r="AE268" s="98"/>
      <c r="AF268" s="98">
        <f t="shared" si="243"/>
        <v>0</v>
      </c>
      <c r="AG268" s="98"/>
      <c r="AH268" s="98">
        <f t="shared" si="244"/>
        <v>0</v>
      </c>
      <c r="AI268" s="98"/>
      <c r="AJ268" s="98">
        <f t="shared" si="245"/>
        <v>0</v>
      </c>
      <c r="AK268" s="98">
        <f t="shared" si="246"/>
        <v>0</v>
      </c>
      <c r="AL268" s="95" t="str">
        <f t="shared" si="247"/>
        <v>ok</v>
      </c>
    </row>
    <row r="269" spans="1:38" x14ac:dyDescent="0.25">
      <c r="A269" s="94">
        <v>598</v>
      </c>
      <c r="B269" s="94" t="s">
        <v>1983</v>
      </c>
      <c r="C269" s="94" t="s">
        <v>1984</v>
      </c>
      <c r="D269" s="94" t="s">
        <v>129</v>
      </c>
      <c r="F269" s="170">
        <f>'Jurisdictional Study'!F1039</f>
        <v>127093.19242245107</v>
      </c>
      <c r="H269" s="98">
        <f t="shared" si="222"/>
        <v>0</v>
      </c>
      <c r="I269" s="98">
        <f t="shared" si="223"/>
        <v>0</v>
      </c>
      <c r="J269" s="98">
        <f t="shared" si="224"/>
        <v>0</v>
      </c>
      <c r="K269" s="98">
        <f t="shared" si="225"/>
        <v>0</v>
      </c>
      <c r="L269" s="98">
        <f t="shared" si="226"/>
        <v>0</v>
      </c>
      <c r="M269" s="98">
        <f t="shared" si="227"/>
        <v>0</v>
      </c>
      <c r="N269" s="98"/>
      <c r="O269" s="98">
        <f t="shared" si="228"/>
        <v>0</v>
      </c>
      <c r="P269" s="98">
        <f t="shared" si="229"/>
        <v>0</v>
      </c>
      <c r="Q269" s="98">
        <f t="shared" si="230"/>
        <v>0</v>
      </c>
      <c r="R269" s="98"/>
      <c r="S269" s="98">
        <f t="shared" si="231"/>
        <v>0</v>
      </c>
      <c r="T269" s="98">
        <f t="shared" si="232"/>
        <v>13806.326180959139</v>
      </c>
      <c r="U269" s="98">
        <f t="shared" si="233"/>
        <v>0</v>
      </c>
      <c r="V269" s="98">
        <f t="shared" si="234"/>
        <v>22361.220523703483</v>
      </c>
      <c r="W269" s="98">
        <f t="shared" si="235"/>
        <v>32005.629725817933</v>
      </c>
      <c r="X269" s="98">
        <f t="shared" si="236"/>
        <v>3946.0977394770853</v>
      </c>
      <c r="Y269" s="98">
        <f t="shared" si="237"/>
        <v>5648.0523045561067</v>
      </c>
      <c r="Z269" s="98">
        <f t="shared" si="238"/>
        <v>13889.232352847348</v>
      </c>
      <c r="AA269" s="98">
        <f t="shared" si="239"/>
        <v>11884.069470955486</v>
      </c>
      <c r="AB269" s="98">
        <f t="shared" si="240"/>
        <v>7966.6615436526045</v>
      </c>
      <c r="AC269" s="98">
        <f t="shared" si="241"/>
        <v>6313.3403612561642</v>
      </c>
      <c r="AD269" s="98">
        <f t="shared" si="242"/>
        <v>9272.5622192256815</v>
      </c>
      <c r="AE269" s="98"/>
      <c r="AF269" s="98">
        <f t="shared" si="243"/>
        <v>0</v>
      </c>
      <c r="AG269" s="98"/>
      <c r="AH269" s="98">
        <f t="shared" si="244"/>
        <v>0</v>
      </c>
      <c r="AI269" s="98"/>
      <c r="AJ269" s="98">
        <f t="shared" si="245"/>
        <v>0</v>
      </c>
      <c r="AK269" s="98">
        <f t="shared" si="246"/>
        <v>127093.19242245104</v>
      </c>
      <c r="AL269" s="95" t="str">
        <f t="shared" si="247"/>
        <v>ok</v>
      </c>
    </row>
    <row r="270" spans="1:38" x14ac:dyDescent="0.25">
      <c r="F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  <c r="AA270" s="98"/>
      <c r="AB270" s="98"/>
      <c r="AC270" s="98"/>
      <c r="AD270" s="98"/>
      <c r="AE270" s="98"/>
      <c r="AF270" s="98"/>
      <c r="AG270" s="98"/>
      <c r="AH270" s="98"/>
      <c r="AI270" s="98"/>
      <c r="AJ270" s="98"/>
      <c r="AK270" s="98"/>
      <c r="AL270" s="95"/>
    </row>
    <row r="271" spans="1:38" x14ac:dyDescent="0.25">
      <c r="A271" s="94" t="s">
        <v>472</v>
      </c>
      <c r="C271" s="94" t="s">
        <v>377</v>
      </c>
      <c r="F271" s="97">
        <f t="shared" ref="F271:M271" si="248">SUM(F261:F270)</f>
        <v>31429886.042839956</v>
      </c>
      <c r="G271" s="97">
        <f t="shared" si="248"/>
        <v>0</v>
      </c>
      <c r="H271" s="97">
        <f t="shared" si="248"/>
        <v>0</v>
      </c>
      <c r="I271" s="97">
        <f t="shared" si="248"/>
        <v>0</v>
      </c>
      <c r="J271" s="97">
        <f t="shared" si="248"/>
        <v>0</v>
      </c>
      <c r="K271" s="97">
        <f t="shared" si="248"/>
        <v>0</v>
      </c>
      <c r="L271" s="97">
        <f t="shared" si="248"/>
        <v>0</v>
      </c>
      <c r="M271" s="97">
        <f t="shared" si="248"/>
        <v>0</v>
      </c>
      <c r="N271" s="97"/>
      <c r="O271" s="97">
        <f>SUM(O261:O270)</f>
        <v>0</v>
      </c>
      <c r="P271" s="97">
        <f>SUM(P261:P270)</f>
        <v>0</v>
      </c>
      <c r="Q271" s="97">
        <f>SUM(Q261:Q270)</f>
        <v>0</v>
      </c>
      <c r="R271" s="97"/>
      <c r="S271" s="97">
        <f t="shared" ref="S271:AD271" si="249">SUM(S261:S270)</f>
        <v>0</v>
      </c>
      <c r="T271" s="97">
        <f t="shared" si="249"/>
        <v>670258.08438178943</v>
      </c>
      <c r="U271" s="97">
        <f t="shared" si="249"/>
        <v>0</v>
      </c>
      <c r="V271" s="97">
        <f t="shared" si="249"/>
        <v>11699508.255360777</v>
      </c>
      <c r="W271" s="97">
        <f t="shared" si="249"/>
        <v>14243715.587478088</v>
      </c>
      <c r="X271" s="97">
        <f t="shared" si="249"/>
        <v>2064619.1038871959</v>
      </c>
      <c r="Y271" s="97">
        <f t="shared" si="249"/>
        <v>2513596.8683784865</v>
      </c>
      <c r="Z271" s="97">
        <f t="shared" si="249"/>
        <v>115538.99940027681</v>
      </c>
      <c r="AA271" s="97">
        <f t="shared" si="249"/>
        <v>98858.846953920249</v>
      </c>
      <c r="AB271" s="97">
        <f t="shared" si="249"/>
        <v>8047.074756635785</v>
      </c>
      <c r="AC271" s="97">
        <f t="shared" si="249"/>
        <v>6377.0654210347475</v>
      </c>
      <c r="AD271" s="97">
        <f t="shared" si="249"/>
        <v>9366.1568217513122</v>
      </c>
      <c r="AE271" s="97"/>
      <c r="AF271" s="97">
        <f>SUM(AF261:AF270)</f>
        <v>0</v>
      </c>
      <c r="AG271" s="97"/>
      <c r="AH271" s="97">
        <f>SUM(AH261:AH270)</f>
        <v>0</v>
      </c>
      <c r="AI271" s="97"/>
      <c r="AJ271" s="97">
        <f>SUM(AJ261:AJ270)</f>
        <v>0</v>
      </c>
      <c r="AK271" s="98">
        <f>SUM(H271:AJ271)</f>
        <v>31429886.042839956</v>
      </c>
      <c r="AL271" s="95" t="str">
        <f>IF(ABS(AK271-F271)&lt;1,"ok","err")</f>
        <v>ok</v>
      </c>
    </row>
    <row r="272" spans="1:38" x14ac:dyDescent="0.25">
      <c r="F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  <c r="AA272" s="98"/>
      <c r="AB272" s="98"/>
      <c r="AC272" s="98"/>
      <c r="AD272" s="98"/>
      <c r="AE272" s="98"/>
      <c r="AF272" s="98"/>
      <c r="AG272" s="98"/>
      <c r="AH272" s="98"/>
      <c r="AI272" s="98"/>
      <c r="AJ272" s="98"/>
      <c r="AL272" s="95"/>
    </row>
    <row r="273" spans="1:38" x14ac:dyDescent="0.25">
      <c r="A273" s="94" t="s">
        <v>577</v>
      </c>
      <c r="F273" s="98">
        <f t="shared" ref="F273:M273" si="250">F256+F271</f>
        <v>50977391.74728097</v>
      </c>
      <c r="G273" s="98">
        <f t="shared" si="250"/>
        <v>0</v>
      </c>
      <c r="H273" s="98">
        <f t="shared" si="250"/>
        <v>0</v>
      </c>
      <c r="I273" s="98">
        <f t="shared" si="250"/>
        <v>0</v>
      </c>
      <c r="J273" s="98">
        <f t="shared" si="250"/>
        <v>0</v>
      </c>
      <c r="K273" s="98">
        <f t="shared" si="250"/>
        <v>0</v>
      </c>
      <c r="L273" s="98">
        <f t="shared" si="250"/>
        <v>0</v>
      </c>
      <c r="M273" s="98">
        <f t="shared" si="250"/>
        <v>0</v>
      </c>
      <c r="N273" s="98"/>
      <c r="O273" s="98">
        <f>O256+O271</f>
        <v>0</v>
      </c>
      <c r="P273" s="98">
        <f>P256+P271</f>
        <v>0</v>
      </c>
      <c r="Q273" s="98">
        <f>Q256+Q271</f>
        <v>0</v>
      </c>
      <c r="R273" s="98"/>
      <c r="S273" s="98">
        <f t="shared" ref="S273:AD273" si="251">S256+S271</f>
        <v>0</v>
      </c>
      <c r="T273" s="98">
        <f t="shared" si="251"/>
        <v>3620830.9651225638</v>
      </c>
      <c r="U273" s="98">
        <f t="shared" si="251"/>
        <v>0</v>
      </c>
      <c r="V273" s="98">
        <f t="shared" si="251"/>
        <v>14061531.7497932</v>
      </c>
      <c r="W273" s="98">
        <f t="shared" si="251"/>
        <v>17397236.014576383</v>
      </c>
      <c r="X273" s="98">
        <f t="shared" si="251"/>
        <v>2481446.7793752705</v>
      </c>
      <c r="Y273" s="98">
        <f t="shared" si="251"/>
        <v>3070100.4731605384</v>
      </c>
      <c r="Z273" s="98">
        <f t="shared" si="251"/>
        <v>684490.22100409039</v>
      </c>
      <c r="AA273" s="98">
        <f t="shared" si="251"/>
        <v>585671.62906844681</v>
      </c>
      <c r="AB273" s="98">
        <f t="shared" si="251"/>
        <v>334389.21535996889</v>
      </c>
      <c r="AC273" s="98">
        <f t="shared" si="251"/>
        <v>8400615.2921832651</v>
      </c>
      <c r="AD273" s="98">
        <f t="shared" si="251"/>
        <v>341079.40763723926</v>
      </c>
      <c r="AE273" s="98"/>
      <c r="AF273" s="98">
        <f>AF256+AF271</f>
        <v>0</v>
      </c>
      <c r="AG273" s="98"/>
      <c r="AH273" s="98">
        <f>AH256+AH271</f>
        <v>0</v>
      </c>
      <c r="AI273" s="98"/>
      <c r="AJ273" s="98">
        <f>AJ256+AJ271</f>
        <v>0</v>
      </c>
      <c r="AK273" s="98">
        <f>SUM(H273:AJ273)</f>
        <v>50977391.747280963</v>
      </c>
      <c r="AL273" s="95" t="str">
        <f>IF(ABS(AK273-F273)&lt;1,"ok","err")</f>
        <v>ok</v>
      </c>
    </row>
    <row r="274" spans="1:38" x14ac:dyDescent="0.25"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  <c r="AA274" s="98"/>
      <c r="AB274" s="98"/>
      <c r="AC274" s="98"/>
      <c r="AD274" s="98"/>
      <c r="AE274" s="98"/>
      <c r="AF274" s="98"/>
      <c r="AG274" s="98"/>
      <c r="AH274" s="98"/>
      <c r="AI274" s="98"/>
      <c r="AJ274" s="98"/>
      <c r="AL274" s="95"/>
    </row>
    <row r="275" spans="1:38" x14ac:dyDescent="0.25">
      <c r="A275" s="94" t="s">
        <v>578</v>
      </c>
      <c r="F275" s="98">
        <f t="shared" ref="F275:M275" si="252">F273+F240</f>
        <v>74383089.446499854</v>
      </c>
      <c r="G275" s="98">
        <f t="shared" si="252"/>
        <v>0</v>
      </c>
      <c r="H275" s="98">
        <f t="shared" si="252"/>
        <v>0</v>
      </c>
      <c r="I275" s="98">
        <f t="shared" si="252"/>
        <v>0</v>
      </c>
      <c r="J275" s="98">
        <f t="shared" si="252"/>
        <v>0</v>
      </c>
      <c r="K275" s="98">
        <f t="shared" si="252"/>
        <v>0</v>
      </c>
      <c r="L275" s="98">
        <f t="shared" si="252"/>
        <v>0</v>
      </c>
      <c r="M275" s="98">
        <f t="shared" si="252"/>
        <v>0</v>
      </c>
      <c r="N275" s="98"/>
      <c r="O275" s="98">
        <f>O273+O240</f>
        <v>8040944.9911022782</v>
      </c>
      <c r="P275" s="98">
        <f>P273+P240</f>
        <v>7580019.9211719753</v>
      </c>
      <c r="Q275" s="98">
        <f>Q273+Q240</f>
        <v>7784732.7869446194</v>
      </c>
      <c r="R275" s="98"/>
      <c r="S275" s="98">
        <f t="shared" ref="S275:AD275" si="253">S273+S240</f>
        <v>0</v>
      </c>
      <c r="T275" s="98">
        <f t="shared" si="253"/>
        <v>3620830.9651225638</v>
      </c>
      <c r="U275" s="98">
        <f t="shared" si="253"/>
        <v>0</v>
      </c>
      <c r="V275" s="98">
        <f t="shared" si="253"/>
        <v>14061531.7497932</v>
      </c>
      <c r="W275" s="98">
        <f t="shared" si="253"/>
        <v>17397236.014576383</v>
      </c>
      <c r="X275" s="98">
        <f t="shared" si="253"/>
        <v>2481446.7793752705</v>
      </c>
      <c r="Y275" s="98">
        <f t="shared" si="253"/>
        <v>3070100.4731605384</v>
      </c>
      <c r="Z275" s="98">
        <f t="shared" si="253"/>
        <v>684490.22100409039</v>
      </c>
      <c r="AA275" s="98">
        <f t="shared" si="253"/>
        <v>585671.62906844681</v>
      </c>
      <c r="AB275" s="98">
        <f t="shared" si="253"/>
        <v>334389.21535996889</v>
      </c>
      <c r="AC275" s="98">
        <f t="shared" si="253"/>
        <v>8400615.2921832651</v>
      </c>
      <c r="AD275" s="98">
        <f t="shared" si="253"/>
        <v>341079.40763723926</v>
      </c>
      <c r="AE275" s="98"/>
      <c r="AF275" s="98">
        <f>AF273+AF240</f>
        <v>0</v>
      </c>
      <c r="AG275" s="98"/>
      <c r="AH275" s="98">
        <f>AH273+AH240</f>
        <v>0</v>
      </c>
      <c r="AI275" s="98"/>
      <c r="AJ275" s="98">
        <f>AJ273+AJ240</f>
        <v>0</v>
      </c>
      <c r="AK275" s="98">
        <f>SUM(H275:AJ275)</f>
        <v>74383089.446499839</v>
      </c>
      <c r="AL275" s="95" t="str">
        <f>IF(ABS(AK275-F275)&lt;1,"ok","err")</f>
        <v>ok</v>
      </c>
    </row>
    <row r="276" spans="1:38" x14ac:dyDescent="0.25"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  <c r="AA276" s="98"/>
      <c r="AB276" s="98"/>
      <c r="AC276" s="98"/>
      <c r="AD276" s="98"/>
      <c r="AE276" s="98"/>
      <c r="AF276" s="98"/>
      <c r="AG276" s="98"/>
      <c r="AH276" s="98"/>
      <c r="AI276" s="98"/>
      <c r="AJ276" s="98"/>
      <c r="AL276" s="95"/>
    </row>
    <row r="277" spans="1:38" x14ac:dyDescent="0.25">
      <c r="A277" s="94" t="s">
        <v>1986</v>
      </c>
      <c r="C277" s="94" t="s">
        <v>378</v>
      </c>
      <c r="F277" s="97">
        <f>F222+F240+F273</f>
        <v>724682420.26448357</v>
      </c>
      <c r="G277" s="97">
        <f>G275+G220</f>
        <v>0</v>
      </c>
      <c r="H277" s="97">
        <f t="shared" ref="H277:M277" si="254">H222+H240+H273</f>
        <v>19450985.124532178</v>
      </c>
      <c r="I277" s="97">
        <f t="shared" si="254"/>
        <v>18336010.866076354</v>
      </c>
      <c r="J277" s="97">
        <f t="shared" si="254"/>
        <v>18831209.740257215</v>
      </c>
      <c r="K277" s="97">
        <f t="shared" si="254"/>
        <v>593681125.08711815</v>
      </c>
      <c r="L277" s="97">
        <f t="shared" si="254"/>
        <v>0</v>
      </c>
      <c r="M277" s="97">
        <f t="shared" si="254"/>
        <v>0</v>
      </c>
      <c r="N277" s="97"/>
      <c r="O277" s="97">
        <f>O222+O240+O273</f>
        <v>8040944.9911022782</v>
      </c>
      <c r="P277" s="97">
        <f>P222+P240+P273</f>
        <v>7580019.9211719753</v>
      </c>
      <c r="Q277" s="97">
        <f>Q222+Q240+Q273</f>
        <v>7784732.7869446194</v>
      </c>
      <c r="R277" s="97"/>
      <c r="S277" s="97">
        <f t="shared" ref="S277:AD277" si="255">S222+S240+S273</f>
        <v>0</v>
      </c>
      <c r="T277" s="97">
        <f t="shared" si="255"/>
        <v>3620830.9651225638</v>
      </c>
      <c r="U277" s="97">
        <f t="shared" si="255"/>
        <v>0</v>
      </c>
      <c r="V277" s="97">
        <f t="shared" si="255"/>
        <v>14061531.7497932</v>
      </c>
      <c r="W277" s="97">
        <f t="shared" si="255"/>
        <v>17397236.014576383</v>
      </c>
      <c r="X277" s="97">
        <f t="shared" si="255"/>
        <v>2481446.7793752705</v>
      </c>
      <c r="Y277" s="97">
        <f t="shared" si="255"/>
        <v>3070100.4731605384</v>
      </c>
      <c r="Z277" s="97">
        <f t="shared" si="255"/>
        <v>684490.22100409039</v>
      </c>
      <c r="AA277" s="97">
        <f t="shared" si="255"/>
        <v>585671.62906844681</v>
      </c>
      <c r="AB277" s="97">
        <f t="shared" si="255"/>
        <v>334389.21535996889</v>
      </c>
      <c r="AC277" s="97">
        <f t="shared" si="255"/>
        <v>8400615.2921832651</v>
      </c>
      <c r="AD277" s="97">
        <f t="shared" si="255"/>
        <v>341079.40763723926</v>
      </c>
      <c r="AE277" s="97"/>
      <c r="AF277" s="97">
        <f>AF222+AF240+AF273</f>
        <v>0</v>
      </c>
      <c r="AG277" s="97"/>
      <c r="AH277" s="97">
        <f>AH222+AH240+AH273</f>
        <v>0</v>
      </c>
      <c r="AI277" s="97"/>
      <c r="AJ277" s="97">
        <f>AJ222+AJ240+AJ273</f>
        <v>0</v>
      </c>
      <c r="AK277" s="98">
        <f>SUM(H277:AJ277)</f>
        <v>724682420.26448381</v>
      </c>
      <c r="AL277" s="95" t="str">
        <f>IF(ABS(AK277-F277)&lt;1,"ok","err")</f>
        <v>ok</v>
      </c>
    </row>
    <row r="278" spans="1:38" x14ac:dyDescent="0.25">
      <c r="A278" s="16"/>
      <c r="F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  <c r="AA278" s="98"/>
      <c r="AB278" s="98"/>
      <c r="AC278" s="98"/>
      <c r="AD278" s="98"/>
      <c r="AE278" s="98"/>
      <c r="AF278" s="98"/>
      <c r="AG278" s="98"/>
      <c r="AH278" s="98"/>
      <c r="AI278" s="98"/>
      <c r="AJ278" s="98"/>
      <c r="AL278" s="95"/>
    </row>
    <row r="279" spans="1:38" x14ac:dyDescent="0.25">
      <c r="A279" s="16" t="s">
        <v>381</v>
      </c>
      <c r="F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  <c r="AA279" s="98"/>
      <c r="AB279" s="98"/>
      <c r="AC279" s="98"/>
      <c r="AD279" s="98"/>
      <c r="AE279" s="98"/>
      <c r="AF279" s="98"/>
      <c r="AG279" s="98"/>
      <c r="AH279" s="98"/>
      <c r="AI279" s="98"/>
      <c r="AJ279" s="98"/>
      <c r="AL279" s="95"/>
    </row>
    <row r="280" spans="1:38" x14ac:dyDescent="0.25">
      <c r="A280" s="94">
        <v>901</v>
      </c>
      <c r="B280" s="94" t="s">
        <v>382</v>
      </c>
      <c r="C280" s="94" t="s">
        <v>383</v>
      </c>
      <c r="D280" s="94" t="s">
        <v>890</v>
      </c>
      <c r="F280" s="97">
        <f>'Jurisdictional Study'!F1048</f>
        <v>2581407.5247872435</v>
      </c>
      <c r="H280" s="98">
        <f>IF(VLOOKUP($D280,$C$5:$AJ$646,6,)=0,0,((VLOOKUP($D280,$C$5:$AJ$646,6,)/VLOOKUP($D280,$C$5:$AJ$646,4,))*$F280))</f>
        <v>0</v>
      </c>
      <c r="I280" s="98">
        <f>IF(VLOOKUP($D280,$C$5:$AJ$646,7,)=0,0,((VLOOKUP($D280,$C$5:$AJ$646,7,)/VLOOKUP($D280,$C$5:$AJ$646,4,))*$F280))</f>
        <v>0</v>
      </c>
      <c r="J280" s="98">
        <f>IF(VLOOKUP($D280,$C$5:$AJ$646,8,)=0,0,((VLOOKUP($D280,$C$5:$AJ$646,8,)/VLOOKUP($D280,$C$5:$AJ$646,4,))*$F280))</f>
        <v>0</v>
      </c>
      <c r="K280" s="98">
        <f>IF(VLOOKUP($D280,$C$5:$AJ$646,9,)=0,0,((VLOOKUP($D280,$C$5:$AJ$646,9,)/VLOOKUP($D280,$C$5:$AJ$646,4,))*$F280))</f>
        <v>0</v>
      </c>
      <c r="L280" s="98">
        <f>IF(VLOOKUP($D280,$C$5:$AJ$646,10,)=0,0,((VLOOKUP($D280,$C$5:$AJ$646,10,)/VLOOKUP($D280,$C$5:$AJ$646,4,))*$F280))</f>
        <v>0</v>
      </c>
      <c r="M280" s="98">
        <f>IF(VLOOKUP($D280,$C$5:$AJ$646,11,)=0,0,((VLOOKUP($D280,$C$5:$AJ$646,11,)/VLOOKUP($D280,$C$5:$AJ$646,4,))*$F280))</f>
        <v>0</v>
      </c>
      <c r="N280" s="98"/>
      <c r="O280" s="98">
        <f>IF(VLOOKUP($D280,$C$5:$AJ$646,13,)=0,0,((VLOOKUP($D280,$C$5:$AJ$646,13,)/VLOOKUP($D280,$C$5:$AJ$646,4,))*$F280))</f>
        <v>0</v>
      </c>
      <c r="P280" s="98">
        <f>IF(VLOOKUP($D280,$C$5:$AJ$646,14,)=0,0,((VLOOKUP($D280,$C$5:$AJ$646,14,)/VLOOKUP($D280,$C$5:$AJ$646,4,))*$F280))</f>
        <v>0</v>
      </c>
      <c r="Q280" s="98">
        <f>IF(VLOOKUP($D280,$C$5:$AJ$646,15,)=0,0,((VLOOKUP($D280,$C$5:$AJ$646,15,)/VLOOKUP($D280,$C$5:$AJ$646,4,))*$F280))</f>
        <v>0</v>
      </c>
      <c r="R280" s="98"/>
      <c r="S280" s="98">
        <f>IF(VLOOKUP($D280,$C$5:$AJ$646,17,)=0,0,((VLOOKUP($D280,$C$5:$AJ$646,17,)/VLOOKUP($D280,$C$5:$AJ$646,4,))*$F280))</f>
        <v>0</v>
      </c>
      <c r="T280" s="98">
        <f>IF(VLOOKUP($D280,$C$5:$AJ$646,18,)=0,0,((VLOOKUP($D280,$C$5:$AJ$646,18,)/VLOOKUP($D280,$C$5:$AJ$646,4,))*$F280))</f>
        <v>0</v>
      </c>
      <c r="U280" s="98">
        <f>IF(VLOOKUP($D280,$C$5:$AJ$646,19,)=0,0,((VLOOKUP($D280,$C$5:$AJ$646,19,)/VLOOKUP($D280,$C$5:$AJ$646,4,))*$F280))</f>
        <v>0</v>
      </c>
      <c r="V280" s="98">
        <f>IF(VLOOKUP($D280,$C$5:$AJ$646,20,)=0,0,((VLOOKUP($D280,$C$5:$AJ$646,20,)/VLOOKUP($D280,$C$5:$AJ$646,4,))*$F280))</f>
        <v>0</v>
      </c>
      <c r="W280" s="98">
        <f>IF(VLOOKUP($D280,$C$5:$AJ$646,21,)=0,0,((VLOOKUP($D280,$C$5:$AJ$646,21,)/VLOOKUP($D280,$C$5:$AJ$646,4,))*$F280))</f>
        <v>0</v>
      </c>
      <c r="X280" s="98">
        <f>IF(VLOOKUP($D280,$C$5:$AJ$646,22,)=0,0,((VLOOKUP($D280,$C$5:$AJ$646,22,)/VLOOKUP($D280,$C$5:$AJ$646,4,))*$F280))</f>
        <v>0</v>
      </c>
      <c r="Y280" s="98">
        <f>IF(VLOOKUP($D280,$C$5:$AJ$646,23,)=0,0,((VLOOKUP($D280,$C$5:$AJ$646,23,)/VLOOKUP($D280,$C$5:$AJ$646,4,))*$F280))</f>
        <v>0</v>
      </c>
      <c r="Z280" s="98">
        <f>IF(VLOOKUP($D280,$C$5:$AJ$646,24,)=0,0,((VLOOKUP($D280,$C$5:$AJ$646,24,)/VLOOKUP($D280,$C$5:$AJ$646,4,))*$F280))</f>
        <v>0</v>
      </c>
      <c r="AA280" s="98">
        <f>IF(VLOOKUP($D280,$C$5:$AJ$646,25,)=0,0,((VLOOKUP($D280,$C$5:$AJ$646,25,)/VLOOKUP($D280,$C$5:$AJ$646,4,))*$F280))</f>
        <v>0</v>
      </c>
      <c r="AB280" s="98">
        <f>IF(VLOOKUP($D280,$C$5:$AJ$646,26,)=0,0,((VLOOKUP($D280,$C$5:$AJ$646,26,)/VLOOKUP($D280,$C$5:$AJ$646,4,))*$F280))</f>
        <v>0</v>
      </c>
      <c r="AC280" s="98">
        <f>IF(VLOOKUP($D280,$C$5:$AJ$646,27,)=0,0,((VLOOKUP($D280,$C$5:$AJ$646,27,)/VLOOKUP($D280,$C$5:$AJ$646,4,))*$F280))</f>
        <v>0</v>
      </c>
      <c r="AD280" s="98">
        <f>IF(VLOOKUP($D280,$C$5:$AJ$646,28,)=0,0,((VLOOKUP($D280,$C$5:$AJ$646,28,)/VLOOKUP($D280,$C$5:$AJ$646,4,))*$F280))</f>
        <v>0</v>
      </c>
      <c r="AE280" s="98"/>
      <c r="AF280" s="98">
        <f>IF(VLOOKUP($D280,$C$5:$AJ$646,30,)=0,0,((VLOOKUP($D280,$C$5:$AJ$646,30,)/VLOOKUP($D280,$C$5:$AJ$646,4,))*$F280))</f>
        <v>2581407.5247872435</v>
      </c>
      <c r="AG280" s="98"/>
      <c r="AH280" s="98">
        <f>IF(VLOOKUP($D280,$C$5:$AJ$646,32,)=0,0,((VLOOKUP($D280,$C$5:$AJ$646,32,)/VLOOKUP($D280,$C$5:$AJ$646,4,))*$F280))</f>
        <v>0</v>
      </c>
      <c r="AI280" s="98"/>
      <c r="AJ280" s="98">
        <f>IF(VLOOKUP($D280,$C$5:$AJ$646,34,)=0,0,((VLOOKUP($D280,$C$5:$AJ$646,34,)/VLOOKUP($D280,$C$5:$AJ$646,4,))*$F280))</f>
        <v>0</v>
      </c>
      <c r="AK280" s="98">
        <f>SUM(H280:AJ280)</f>
        <v>2581407.5247872435</v>
      </c>
      <c r="AL280" s="95" t="str">
        <f>IF(ABS(AK280-F280)&lt;1,"ok","err")</f>
        <v>ok</v>
      </c>
    </row>
    <row r="281" spans="1:38" x14ac:dyDescent="0.25">
      <c r="A281" s="94">
        <v>902</v>
      </c>
      <c r="B281" s="94" t="s">
        <v>385</v>
      </c>
      <c r="C281" s="94" t="s">
        <v>386</v>
      </c>
      <c r="D281" s="94" t="s">
        <v>890</v>
      </c>
      <c r="F281" s="98">
        <f>'Jurisdictional Study'!F1049</f>
        <v>4654897.4312407095</v>
      </c>
      <c r="H281" s="98">
        <f>IF(VLOOKUP($D281,$C$5:$AJ$646,6,)=0,0,((VLOOKUP($D281,$C$5:$AJ$646,6,)/VLOOKUP($D281,$C$5:$AJ$646,4,))*$F281))</f>
        <v>0</v>
      </c>
      <c r="I281" s="98">
        <f>IF(VLOOKUP($D281,$C$5:$AJ$646,7,)=0,0,((VLOOKUP($D281,$C$5:$AJ$646,7,)/VLOOKUP($D281,$C$5:$AJ$646,4,))*$F281))</f>
        <v>0</v>
      </c>
      <c r="J281" s="98">
        <f>IF(VLOOKUP($D281,$C$5:$AJ$646,8,)=0,0,((VLOOKUP($D281,$C$5:$AJ$646,8,)/VLOOKUP($D281,$C$5:$AJ$646,4,))*$F281))</f>
        <v>0</v>
      </c>
      <c r="K281" s="98">
        <f>IF(VLOOKUP($D281,$C$5:$AJ$646,9,)=0,0,((VLOOKUP($D281,$C$5:$AJ$646,9,)/VLOOKUP($D281,$C$5:$AJ$646,4,))*$F281))</f>
        <v>0</v>
      </c>
      <c r="L281" s="98">
        <f>IF(VLOOKUP($D281,$C$5:$AJ$646,10,)=0,0,((VLOOKUP($D281,$C$5:$AJ$646,10,)/VLOOKUP($D281,$C$5:$AJ$646,4,))*$F281))</f>
        <v>0</v>
      </c>
      <c r="M281" s="98">
        <f>IF(VLOOKUP($D281,$C$5:$AJ$646,11,)=0,0,((VLOOKUP($D281,$C$5:$AJ$646,11,)/VLOOKUP($D281,$C$5:$AJ$646,4,))*$F281))</f>
        <v>0</v>
      </c>
      <c r="N281" s="98"/>
      <c r="O281" s="98">
        <f>IF(VLOOKUP($D281,$C$5:$AJ$646,13,)=0,0,((VLOOKUP($D281,$C$5:$AJ$646,13,)/VLOOKUP($D281,$C$5:$AJ$646,4,))*$F281))</f>
        <v>0</v>
      </c>
      <c r="P281" s="98">
        <f>IF(VLOOKUP($D281,$C$5:$AJ$646,14,)=0,0,((VLOOKUP($D281,$C$5:$AJ$646,14,)/VLOOKUP($D281,$C$5:$AJ$646,4,))*$F281))</f>
        <v>0</v>
      </c>
      <c r="Q281" s="98">
        <f>IF(VLOOKUP($D281,$C$5:$AJ$646,15,)=0,0,((VLOOKUP($D281,$C$5:$AJ$646,15,)/VLOOKUP($D281,$C$5:$AJ$646,4,))*$F281))</f>
        <v>0</v>
      </c>
      <c r="R281" s="98"/>
      <c r="S281" s="98">
        <f>IF(VLOOKUP($D281,$C$5:$AJ$646,17,)=0,0,((VLOOKUP($D281,$C$5:$AJ$646,17,)/VLOOKUP($D281,$C$5:$AJ$646,4,))*$F281))</f>
        <v>0</v>
      </c>
      <c r="T281" s="98">
        <f>IF(VLOOKUP($D281,$C$5:$AJ$646,18,)=0,0,((VLOOKUP($D281,$C$5:$AJ$646,18,)/VLOOKUP($D281,$C$5:$AJ$646,4,))*$F281))</f>
        <v>0</v>
      </c>
      <c r="U281" s="98">
        <f>IF(VLOOKUP($D281,$C$5:$AJ$646,19,)=0,0,((VLOOKUP($D281,$C$5:$AJ$646,19,)/VLOOKUP($D281,$C$5:$AJ$646,4,))*$F281))</f>
        <v>0</v>
      </c>
      <c r="V281" s="98">
        <f>IF(VLOOKUP($D281,$C$5:$AJ$646,20,)=0,0,((VLOOKUP($D281,$C$5:$AJ$646,20,)/VLOOKUP($D281,$C$5:$AJ$646,4,))*$F281))</f>
        <v>0</v>
      </c>
      <c r="W281" s="98">
        <f>IF(VLOOKUP($D281,$C$5:$AJ$646,21,)=0,0,((VLOOKUP($D281,$C$5:$AJ$646,21,)/VLOOKUP($D281,$C$5:$AJ$646,4,))*$F281))</f>
        <v>0</v>
      </c>
      <c r="X281" s="98">
        <f>IF(VLOOKUP($D281,$C$5:$AJ$646,22,)=0,0,((VLOOKUP($D281,$C$5:$AJ$646,22,)/VLOOKUP($D281,$C$5:$AJ$646,4,))*$F281))</f>
        <v>0</v>
      </c>
      <c r="Y281" s="98">
        <f>IF(VLOOKUP($D281,$C$5:$AJ$646,23,)=0,0,((VLOOKUP($D281,$C$5:$AJ$646,23,)/VLOOKUP($D281,$C$5:$AJ$646,4,))*$F281))</f>
        <v>0</v>
      </c>
      <c r="Z281" s="98">
        <f>IF(VLOOKUP($D281,$C$5:$AJ$646,24,)=0,0,((VLOOKUP($D281,$C$5:$AJ$646,24,)/VLOOKUP($D281,$C$5:$AJ$646,4,))*$F281))</f>
        <v>0</v>
      </c>
      <c r="AA281" s="98">
        <f>IF(VLOOKUP($D281,$C$5:$AJ$646,25,)=0,0,((VLOOKUP($D281,$C$5:$AJ$646,25,)/VLOOKUP($D281,$C$5:$AJ$646,4,))*$F281))</f>
        <v>0</v>
      </c>
      <c r="AB281" s="98">
        <f>IF(VLOOKUP($D281,$C$5:$AJ$646,26,)=0,0,((VLOOKUP($D281,$C$5:$AJ$646,26,)/VLOOKUP($D281,$C$5:$AJ$646,4,))*$F281))</f>
        <v>0</v>
      </c>
      <c r="AC281" s="98">
        <f>IF(VLOOKUP($D281,$C$5:$AJ$646,27,)=0,0,((VLOOKUP($D281,$C$5:$AJ$646,27,)/VLOOKUP($D281,$C$5:$AJ$646,4,))*$F281))</f>
        <v>0</v>
      </c>
      <c r="AD281" s="98">
        <f>IF(VLOOKUP($D281,$C$5:$AJ$646,28,)=0,0,((VLOOKUP($D281,$C$5:$AJ$646,28,)/VLOOKUP($D281,$C$5:$AJ$646,4,))*$F281))</f>
        <v>0</v>
      </c>
      <c r="AE281" s="98"/>
      <c r="AF281" s="98">
        <f>IF(VLOOKUP($D281,$C$5:$AJ$646,30,)=0,0,((VLOOKUP($D281,$C$5:$AJ$646,30,)/VLOOKUP($D281,$C$5:$AJ$646,4,))*$F281))</f>
        <v>4654897.4312407095</v>
      </c>
      <c r="AG281" s="98"/>
      <c r="AH281" s="98">
        <f>IF(VLOOKUP($D281,$C$5:$AJ$646,32,)=0,0,((VLOOKUP($D281,$C$5:$AJ$646,32,)/VLOOKUP($D281,$C$5:$AJ$646,4,))*$F281))</f>
        <v>0</v>
      </c>
      <c r="AI281" s="98"/>
      <c r="AJ281" s="98">
        <f>IF(VLOOKUP($D281,$C$5:$AJ$646,34,)=0,0,((VLOOKUP($D281,$C$5:$AJ$646,34,)/VLOOKUP($D281,$C$5:$AJ$646,4,))*$F281))</f>
        <v>0</v>
      </c>
      <c r="AK281" s="98">
        <f>SUM(H281:AJ281)</f>
        <v>4654897.4312407095</v>
      </c>
      <c r="AL281" s="95" t="str">
        <f>IF(ABS(AK281-F281)&lt;1,"ok","err")</f>
        <v>ok</v>
      </c>
    </row>
    <row r="282" spans="1:38" x14ac:dyDescent="0.25">
      <c r="A282" s="94">
        <v>903</v>
      </c>
      <c r="B282" s="94" t="s">
        <v>1714</v>
      </c>
      <c r="C282" s="94" t="s">
        <v>387</v>
      </c>
      <c r="D282" s="94" t="s">
        <v>890</v>
      </c>
      <c r="F282" s="98">
        <f>'Jurisdictional Study'!F1050</f>
        <v>13547808.331658343</v>
      </c>
      <c r="H282" s="98">
        <f>IF(VLOOKUP($D282,$C$5:$AJ$646,6,)=0,0,((VLOOKUP($D282,$C$5:$AJ$646,6,)/VLOOKUP($D282,$C$5:$AJ$646,4,))*$F282))</f>
        <v>0</v>
      </c>
      <c r="I282" s="98">
        <f>IF(VLOOKUP($D282,$C$5:$AJ$646,7,)=0,0,((VLOOKUP($D282,$C$5:$AJ$646,7,)/VLOOKUP($D282,$C$5:$AJ$646,4,))*$F282))</f>
        <v>0</v>
      </c>
      <c r="J282" s="98">
        <f>IF(VLOOKUP($D282,$C$5:$AJ$646,8,)=0,0,((VLOOKUP($D282,$C$5:$AJ$646,8,)/VLOOKUP($D282,$C$5:$AJ$646,4,))*$F282))</f>
        <v>0</v>
      </c>
      <c r="K282" s="98">
        <f>IF(VLOOKUP($D282,$C$5:$AJ$646,9,)=0,0,((VLOOKUP($D282,$C$5:$AJ$646,9,)/VLOOKUP($D282,$C$5:$AJ$646,4,))*$F282))</f>
        <v>0</v>
      </c>
      <c r="L282" s="98">
        <f>IF(VLOOKUP($D282,$C$5:$AJ$646,10,)=0,0,((VLOOKUP($D282,$C$5:$AJ$646,10,)/VLOOKUP($D282,$C$5:$AJ$646,4,))*$F282))</f>
        <v>0</v>
      </c>
      <c r="M282" s="98">
        <f>IF(VLOOKUP($D282,$C$5:$AJ$646,11,)=0,0,((VLOOKUP($D282,$C$5:$AJ$646,11,)/VLOOKUP($D282,$C$5:$AJ$646,4,))*$F282))</f>
        <v>0</v>
      </c>
      <c r="N282" s="98"/>
      <c r="O282" s="98">
        <f>IF(VLOOKUP($D282,$C$5:$AJ$646,13,)=0,0,((VLOOKUP($D282,$C$5:$AJ$646,13,)/VLOOKUP($D282,$C$5:$AJ$646,4,))*$F282))</f>
        <v>0</v>
      </c>
      <c r="P282" s="98">
        <f>IF(VLOOKUP($D282,$C$5:$AJ$646,14,)=0,0,((VLOOKUP($D282,$C$5:$AJ$646,14,)/VLOOKUP($D282,$C$5:$AJ$646,4,))*$F282))</f>
        <v>0</v>
      </c>
      <c r="Q282" s="98">
        <f>IF(VLOOKUP($D282,$C$5:$AJ$646,15,)=0,0,((VLOOKUP($D282,$C$5:$AJ$646,15,)/VLOOKUP($D282,$C$5:$AJ$646,4,))*$F282))</f>
        <v>0</v>
      </c>
      <c r="R282" s="98"/>
      <c r="S282" s="98">
        <f>IF(VLOOKUP($D282,$C$5:$AJ$646,17,)=0,0,((VLOOKUP($D282,$C$5:$AJ$646,17,)/VLOOKUP($D282,$C$5:$AJ$646,4,))*$F282))</f>
        <v>0</v>
      </c>
      <c r="T282" s="98">
        <f>IF(VLOOKUP($D282,$C$5:$AJ$646,18,)=0,0,((VLOOKUP($D282,$C$5:$AJ$646,18,)/VLOOKUP($D282,$C$5:$AJ$646,4,))*$F282))</f>
        <v>0</v>
      </c>
      <c r="U282" s="98">
        <f>IF(VLOOKUP($D282,$C$5:$AJ$646,19,)=0,0,((VLOOKUP($D282,$C$5:$AJ$646,19,)/VLOOKUP($D282,$C$5:$AJ$646,4,))*$F282))</f>
        <v>0</v>
      </c>
      <c r="V282" s="98">
        <f>IF(VLOOKUP($D282,$C$5:$AJ$646,20,)=0,0,((VLOOKUP($D282,$C$5:$AJ$646,20,)/VLOOKUP($D282,$C$5:$AJ$646,4,))*$F282))</f>
        <v>0</v>
      </c>
      <c r="W282" s="98">
        <f>IF(VLOOKUP($D282,$C$5:$AJ$646,21,)=0,0,((VLOOKUP($D282,$C$5:$AJ$646,21,)/VLOOKUP($D282,$C$5:$AJ$646,4,))*$F282))</f>
        <v>0</v>
      </c>
      <c r="X282" s="98">
        <f>IF(VLOOKUP($D282,$C$5:$AJ$646,22,)=0,0,((VLOOKUP($D282,$C$5:$AJ$646,22,)/VLOOKUP($D282,$C$5:$AJ$646,4,))*$F282))</f>
        <v>0</v>
      </c>
      <c r="Y282" s="98">
        <f>IF(VLOOKUP($D282,$C$5:$AJ$646,23,)=0,0,((VLOOKUP($D282,$C$5:$AJ$646,23,)/VLOOKUP($D282,$C$5:$AJ$646,4,))*$F282))</f>
        <v>0</v>
      </c>
      <c r="Z282" s="98">
        <f>IF(VLOOKUP($D282,$C$5:$AJ$646,24,)=0,0,((VLOOKUP($D282,$C$5:$AJ$646,24,)/VLOOKUP($D282,$C$5:$AJ$646,4,))*$F282))</f>
        <v>0</v>
      </c>
      <c r="AA282" s="98">
        <f>IF(VLOOKUP($D282,$C$5:$AJ$646,25,)=0,0,((VLOOKUP($D282,$C$5:$AJ$646,25,)/VLOOKUP($D282,$C$5:$AJ$646,4,))*$F282))</f>
        <v>0</v>
      </c>
      <c r="AB282" s="98">
        <f>IF(VLOOKUP($D282,$C$5:$AJ$646,26,)=0,0,((VLOOKUP($D282,$C$5:$AJ$646,26,)/VLOOKUP($D282,$C$5:$AJ$646,4,))*$F282))</f>
        <v>0</v>
      </c>
      <c r="AC282" s="98">
        <f>IF(VLOOKUP($D282,$C$5:$AJ$646,27,)=0,0,((VLOOKUP($D282,$C$5:$AJ$646,27,)/VLOOKUP($D282,$C$5:$AJ$646,4,))*$F282))</f>
        <v>0</v>
      </c>
      <c r="AD282" s="98">
        <f>IF(VLOOKUP($D282,$C$5:$AJ$646,28,)=0,0,((VLOOKUP($D282,$C$5:$AJ$646,28,)/VLOOKUP($D282,$C$5:$AJ$646,4,))*$F282))</f>
        <v>0</v>
      </c>
      <c r="AE282" s="98"/>
      <c r="AF282" s="98">
        <f>IF(VLOOKUP($D282,$C$5:$AJ$646,30,)=0,0,((VLOOKUP($D282,$C$5:$AJ$646,30,)/VLOOKUP($D282,$C$5:$AJ$646,4,))*$F282))</f>
        <v>13547808.331658343</v>
      </c>
      <c r="AG282" s="98"/>
      <c r="AH282" s="98">
        <f>IF(VLOOKUP($D282,$C$5:$AJ$646,32,)=0,0,((VLOOKUP($D282,$C$5:$AJ$646,32,)/VLOOKUP($D282,$C$5:$AJ$646,4,))*$F282))</f>
        <v>0</v>
      </c>
      <c r="AI282" s="98"/>
      <c r="AJ282" s="98">
        <f>IF(VLOOKUP($D282,$C$5:$AJ$646,34,)=0,0,((VLOOKUP($D282,$C$5:$AJ$646,34,)/VLOOKUP($D282,$C$5:$AJ$646,4,))*$F282))</f>
        <v>0</v>
      </c>
      <c r="AK282" s="98">
        <f>SUM(H282:AJ282)</f>
        <v>13547808.331658343</v>
      </c>
      <c r="AL282" s="95" t="str">
        <f>IF(ABS(AK282-F282)&lt;1,"ok","err")</f>
        <v>ok</v>
      </c>
    </row>
    <row r="283" spans="1:38" x14ac:dyDescent="0.25">
      <c r="A283" s="94">
        <v>904</v>
      </c>
      <c r="B283" s="94" t="s">
        <v>388</v>
      </c>
      <c r="C283" s="94" t="s">
        <v>389</v>
      </c>
      <c r="D283" s="94" t="s">
        <v>890</v>
      </c>
      <c r="F283" s="98">
        <f>'Jurisdictional Study'!F1051</f>
        <v>5121451.3661681851</v>
      </c>
      <c r="H283" s="98">
        <f>IF(VLOOKUP($D283,$C$5:$AJ$646,6,)=0,0,((VLOOKUP($D283,$C$5:$AJ$646,6,)/VLOOKUP($D283,$C$5:$AJ$646,4,))*$F283))</f>
        <v>0</v>
      </c>
      <c r="I283" s="98">
        <f>IF(VLOOKUP($D283,$C$5:$AJ$646,7,)=0,0,((VLOOKUP($D283,$C$5:$AJ$646,7,)/VLOOKUP($D283,$C$5:$AJ$646,4,))*$F283))</f>
        <v>0</v>
      </c>
      <c r="J283" s="98">
        <f>IF(VLOOKUP($D283,$C$5:$AJ$646,8,)=0,0,((VLOOKUP($D283,$C$5:$AJ$646,8,)/VLOOKUP($D283,$C$5:$AJ$646,4,))*$F283))</f>
        <v>0</v>
      </c>
      <c r="K283" s="98">
        <f>IF(VLOOKUP($D283,$C$5:$AJ$646,9,)=0,0,((VLOOKUP($D283,$C$5:$AJ$646,9,)/VLOOKUP($D283,$C$5:$AJ$646,4,))*$F283))</f>
        <v>0</v>
      </c>
      <c r="L283" s="98">
        <f>IF(VLOOKUP($D283,$C$5:$AJ$646,10,)=0,0,((VLOOKUP($D283,$C$5:$AJ$646,10,)/VLOOKUP($D283,$C$5:$AJ$646,4,))*$F283))</f>
        <v>0</v>
      </c>
      <c r="M283" s="98">
        <f>IF(VLOOKUP($D283,$C$5:$AJ$646,11,)=0,0,((VLOOKUP($D283,$C$5:$AJ$646,11,)/VLOOKUP($D283,$C$5:$AJ$646,4,))*$F283))</f>
        <v>0</v>
      </c>
      <c r="N283" s="98"/>
      <c r="O283" s="98">
        <f>IF(VLOOKUP($D283,$C$5:$AJ$646,13,)=0,0,((VLOOKUP($D283,$C$5:$AJ$646,13,)/VLOOKUP($D283,$C$5:$AJ$646,4,))*$F283))</f>
        <v>0</v>
      </c>
      <c r="P283" s="98">
        <f>IF(VLOOKUP($D283,$C$5:$AJ$646,14,)=0,0,((VLOOKUP($D283,$C$5:$AJ$646,14,)/VLOOKUP($D283,$C$5:$AJ$646,4,))*$F283))</f>
        <v>0</v>
      </c>
      <c r="Q283" s="98">
        <f>IF(VLOOKUP($D283,$C$5:$AJ$646,15,)=0,0,((VLOOKUP($D283,$C$5:$AJ$646,15,)/VLOOKUP($D283,$C$5:$AJ$646,4,))*$F283))</f>
        <v>0</v>
      </c>
      <c r="R283" s="98"/>
      <c r="S283" s="98">
        <f>IF(VLOOKUP($D283,$C$5:$AJ$646,17,)=0,0,((VLOOKUP($D283,$C$5:$AJ$646,17,)/VLOOKUP($D283,$C$5:$AJ$646,4,))*$F283))</f>
        <v>0</v>
      </c>
      <c r="T283" s="98">
        <f>IF(VLOOKUP($D283,$C$5:$AJ$646,18,)=0,0,((VLOOKUP($D283,$C$5:$AJ$646,18,)/VLOOKUP($D283,$C$5:$AJ$646,4,))*$F283))</f>
        <v>0</v>
      </c>
      <c r="U283" s="98">
        <f>IF(VLOOKUP($D283,$C$5:$AJ$646,19,)=0,0,((VLOOKUP($D283,$C$5:$AJ$646,19,)/VLOOKUP($D283,$C$5:$AJ$646,4,))*$F283))</f>
        <v>0</v>
      </c>
      <c r="V283" s="98">
        <f>IF(VLOOKUP($D283,$C$5:$AJ$646,20,)=0,0,((VLOOKUP($D283,$C$5:$AJ$646,20,)/VLOOKUP($D283,$C$5:$AJ$646,4,))*$F283))</f>
        <v>0</v>
      </c>
      <c r="W283" s="98">
        <f>IF(VLOOKUP($D283,$C$5:$AJ$646,21,)=0,0,((VLOOKUP($D283,$C$5:$AJ$646,21,)/VLOOKUP($D283,$C$5:$AJ$646,4,))*$F283))</f>
        <v>0</v>
      </c>
      <c r="X283" s="98">
        <f>IF(VLOOKUP($D283,$C$5:$AJ$646,22,)=0,0,((VLOOKUP($D283,$C$5:$AJ$646,22,)/VLOOKUP($D283,$C$5:$AJ$646,4,))*$F283))</f>
        <v>0</v>
      </c>
      <c r="Y283" s="98">
        <f>IF(VLOOKUP($D283,$C$5:$AJ$646,23,)=0,0,((VLOOKUP($D283,$C$5:$AJ$646,23,)/VLOOKUP($D283,$C$5:$AJ$646,4,))*$F283))</f>
        <v>0</v>
      </c>
      <c r="Z283" s="98">
        <f>IF(VLOOKUP($D283,$C$5:$AJ$646,24,)=0,0,((VLOOKUP($D283,$C$5:$AJ$646,24,)/VLOOKUP($D283,$C$5:$AJ$646,4,))*$F283))</f>
        <v>0</v>
      </c>
      <c r="AA283" s="98">
        <f>IF(VLOOKUP($D283,$C$5:$AJ$646,25,)=0,0,((VLOOKUP($D283,$C$5:$AJ$646,25,)/VLOOKUP($D283,$C$5:$AJ$646,4,))*$F283))</f>
        <v>0</v>
      </c>
      <c r="AB283" s="98">
        <f>IF(VLOOKUP($D283,$C$5:$AJ$646,26,)=0,0,((VLOOKUP($D283,$C$5:$AJ$646,26,)/VLOOKUP($D283,$C$5:$AJ$646,4,))*$F283))</f>
        <v>0</v>
      </c>
      <c r="AC283" s="98">
        <f>IF(VLOOKUP($D283,$C$5:$AJ$646,27,)=0,0,((VLOOKUP($D283,$C$5:$AJ$646,27,)/VLOOKUP($D283,$C$5:$AJ$646,4,))*$F283))</f>
        <v>0</v>
      </c>
      <c r="AD283" s="98">
        <f>IF(VLOOKUP($D283,$C$5:$AJ$646,28,)=0,0,((VLOOKUP($D283,$C$5:$AJ$646,28,)/VLOOKUP($D283,$C$5:$AJ$646,4,))*$F283))</f>
        <v>0</v>
      </c>
      <c r="AE283" s="98"/>
      <c r="AF283" s="98">
        <f>IF(VLOOKUP($D283,$C$5:$AJ$646,30,)=0,0,((VLOOKUP($D283,$C$5:$AJ$646,30,)/VLOOKUP($D283,$C$5:$AJ$646,4,))*$F283))</f>
        <v>5121451.3661681851</v>
      </c>
      <c r="AG283" s="98"/>
      <c r="AH283" s="98">
        <f>IF(VLOOKUP($D283,$C$5:$AJ$646,32,)=0,0,((VLOOKUP($D283,$C$5:$AJ$646,32,)/VLOOKUP($D283,$C$5:$AJ$646,4,))*$F283))</f>
        <v>0</v>
      </c>
      <c r="AI283" s="98"/>
      <c r="AJ283" s="98">
        <f>IF(VLOOKUP($D283,$C$5:$AJ$646,34,)=0,0,((VLOOKUP($D283,$C$5:$AJ$646,34,)/VLOOKUP($D283,$C$5:$AJ$646,4,))*$F283))</f>
        <v>0</v>
      </c>
      <c r="AK283" s="98">
        <f>SUM(H283:AJ283)</f>
        <v>5121451.3661681851</v>
      </c>
      <c r="AL283" s="95" t="str">
        <f>IF(ABS(AK283-F283)&lt;1,"ok","err")</f>
        <v>ok</v>
      </c>
    </row>
    <row r="284" spans="1:38" x14ac:dyDescent="0.25">
      <c r="A284" s="94">
        <v>905</v>
      </c>
      <c r="B284" s="94" t="s">
        <v>1715</v>
      </c>
      <c r="C284" s="94" t="s">
        <v>387</v>
      </c>
      <c r="D284" s="94" t="s">
        <v>890</v>
      </c>
      <c r="F284" s="98">
        <f>'Jurisdictional Study'!F1052</f>
        <v>709907.20391510346</v>
      </c>
      <c r="H284" s="98">
        <f>IF(VLOOKUP($D284,$C$5:$AJ$646,6,)=0,0,((VLOOKUP($D284,$C$5:$AJ$646,6,)/VLOOKUP($D284,$C$5:$AJ$646,4,))*$F284))</f>
        <v>0</v>
      </c>
      <c r="I284" s="98">
        <f>IF(VLOOKUP($D284,$C$5:$AJ$646,7,)=0,0,((VLOOKUP($D284,$C$5:$AJ$646,7,)/VLOOKUP($D284,$C$5:$AJ$646,4,))*$F284))</f>
        <v>0</v>
      </c>
      <c r="J284" s="98">
        <f>IF(VLOOKUP($D284,$C$5:$AJ$646,8,)=0,0,((VLOOKUP($D284,$C$5:$AJ$646,8,)/VLOOKUP($D284,$C$5:$AJ$646,4,))*$F284))</f>
        <v>0</v>
      </c>
      <c r="K284" s="98">
        <f>IF(VLOOKUP($D284,$C$5:$AJ$646,9,)=0,0,((VLOOKUP($D284,$C$5:$AJ$646,9,)/VLOOKUP($D284,$C$5:$AJ$646,4,))*$F284))</f>
        <v>0</v>
      </c>
      <c r="L284" s="98">
        <f>IF(VLOOKUP($D284,$C$5:$AJ$646,10,)=0,0,((VLOOKUP($D284,$C$5:$AJ$646,10,)/VLOOKUP($D284,$C$5:$AJ$646,4,))*$F284))</f>
        <v>0</v>
      </c>
      <c r="M284" s="98">
        <f>IF(VLOOKUP($D284,$C$5:$AJ$646,11,)=0,0,((VLOOKUP($D284,$C$5:$AJ$646,11,)/VLOOKUP($D284,$C$5:$AJ$646,4,))*$F284))</f>
        <v>0</v>
      </c>
      <c r="N284" s="98"/>
      <c r="O284" s="98">
        <f>IF(VLOOKUP($D284,$C$5:$AJ$646,13,)=0,0,((VLOOKUP($D284,$C$5:$AJ$646,13,)/VLOOKUP($D284,$C$5:$AJ$646,4,))*$F284))</f>
        <v>0</v>
      </c>
      <c r="P284" s="98">
        <f>IF(VLOOKUP($D284,$C$5:$AJ$646,14,)=0,0,((VLOOKUP($D284,$C$5:$AJ$646,14,)/VLOOKUP($D284,$C$5:$AJ$646,4,))*$F284))</f>
        <v>0</v>
      </c>
      <c r="Q284" s="98">
        <f>IF(VLOOKUP($D284,$C$5:$AJ$646,15,)=0,0,((VLOOKUP($D284,$C$5:$AJ$646,15,)/VLOOKUP($D284,$C$5:$AJ$646,4,))*$F284))</f>
        <v>0</v>
      </c>
      <c r="R284" s="98"/>
      <c r="S284" s="98">
        <f>IF(VLOOKUP($D284,$C$5:$AJ$646,17,)=0,0,((VLOOKUP($D284,$C$5:$AJ$646,17,)/VLOOKUP($D284,$C$5:$AJ$646,4,))*$F284))</f>
        <v>0</v>
      </c>
      <c r="T284" s="98">
        <f>IF(VLOOKUP($D284,$C$5:$AJ$646,18,)=0,0,((VLOOKUP($D284,$C$5:$AJ$646,18,)/VLOOKUP($D284,$C$5:$AJ$646,4,))*$F284))</f>
        <v>0</v>
      </c>
      <c r="U284" s="98">
        <f>IF(VLOOKUP($D284,$C$5:$AJ$646,19,)=0,0,((VLOOKUP($D284,$C$5:$AJ$646,19,)/VLOOKUP($D284,$C$5:$AJ$646,4,))*$F284))</f>
        <v>0</v>
      </c>
      <c r="V284" s="98">
        <f>IF(VLOOKUP($D284,$C$5:$AJ$646,20,)=0,0,((VLOOKUP($D284,$C$5:$AJ$646,20,)/VLOOKUP($D284,$C$5:$AJ$646,4,))*$F284))</f>
        <v>0</v>
      </c>
      <c r="W284" s="98">
        <f>IF(VLOOKUP($D284,$C$5:$AJ$646,21,)=0,0,((VLOOKUP($D284,$C$5:$AJ$646,21,)/VLOOKUP($D284,$C$5:$AJ$646,4,))*$F284))</f>
        <v>0</v>
      </c>
      <c r="X284" s="98">
        <f>IF(VLOOKUP($D284,$C$5:$AJ$646,22,)=0,0,((VLOOKUP($D284,$C$5:$AJ$646,22,)/VLOOKUP($D284,$C$5:$AJ$646,4,))*$F284))</f>
        <v>0</v>
      </c>
      <c r="Y284" s="98">
        <f>IF(VLOOKUP($D284,$C$5:$AJ$646,23,)=0,0,((VLOOKUP($D284,$C$5:$AJ$646,23,)/VLOOKUP($D284,$C$5:$AJ$646,4,))*$F284))</f>
        <v>0</v>
      </c>
      <c r="Z284" s="98">
        <f>IF(VLOOKUP($D284,$C$5:$AJ$646,24,)=0,0,((VLOOKUP($D284,$C$5:$AJ$646,24,)/VLOOKUP($D284,$C$5:$AJ$646,4,))*$F284))</f>
        <v>0</v>
      </c>
      <c r="AA284" s="98">
        <f>IF(VLOOKUP($D284,$C$5:$AJ$646,25,)=0,0,((VLOOKUP($D284,$C$5:$AJ$646,25,)/VLOOKUP($D284,$C$5:$AJ$646,4,))*$F284))</f>
        <v>0</v>
      </c>
      <c r="AB284" s="98">
        <f>IF(VLOOKUP($D284,$C$5:$AJ$646,26,)=0,0,((VLOOKUP($D284,$C$5:$AJ$646,26,)/VLOOKUP($D284,$C$5:$AJ$646,4,))*$F284))</f>
        <v>0</v>
      </c>
      <c r="AC284" s="98">
        <f>IF(VLOOKUP($D284,$C$5:$AJ$646,27,)=0,0,((VLOOKUP($D284,$C$5:$AJ$646,27,)/VLOOKUP($D284,$C$5:$AJ$646,4,))*$F284))</f>
        <v>0</v>
      </c>
      <c r="AD284" s="98">
        <f>IF(VLOOKUP($D284,$C$5:$AJ$646,28,)=0,0,((VLOOKUP($D284,$C$5:$AJ$646,28,)/VLOOKUP($D284,$C$5:$AJ$646,4,))*$F284))</f>
        <v>0</v>
      </c>
      <c r="AE284" s="98"/>
      <c r="AF284" s="98">
        <f>IF(VLOOKUP($D284,$C$5:$AJ$646,30,)=0,0,((VLOOKUP($D284,$C$5:$AJ$646,30,)/VLOOKUP($D284,$C$5:$AJ$646,4,))*$F284))</f>
        <v>709907.20391510346</v>
      </c>
      <c r="AG284" s="98"/>
      <c r="AH284" s="98">
        <f>IF(VLOOKUP($D284,$C$5:$AJ$646,32,)=0,0,((VLOOKUP($D284,$C$5:$AJ$646,32,)/VLOOKUP($D284,$C$5:$AJ$646,4,))*$F284))</f>
        <v>0</v>
      </c>
      <c r="AI284" s="98"/>
      <c r="AJ284" s="98">
        <f>IF(VLOOKUP($D284,$C$5:$AJ$646,34,)=0,0,((VLOOKUP($D284,$C$5:$AJ$646,34,)/VLOOKUP($D284,$C$5:$AJ$646,4,))*$F284))</f>
        <v>0</v>
      </c>
      <c r="AK284" s="98">
        <f>SUM(H284:AJ284)</f>
        <v>709907.20391510346</v>
      </c>
      <c r="AL284" s="95" t="str">
        <f>IF(ABS(AK284-F284)&lt;1,"ok","err")</f>
        <v>ok</v>
      </c>
    </row>
    <row r="285" spans="1:38" x14ac:dyDescent="0.25">
      <c r="A285" s="16"/>
      <c r="F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  <c r="AA285" s="98"/>
      <c r="AB285" s="98"/>
      <c r="AC285" s="98"/>
      <c r="AD285" s="98"/>
      <c r="AE285" s="98"/>
      <c r="AF285" s="98"/>
      <c r="AG285" s="98"/>
      <c r="AH285" s="98"/>
      <c r="AI285" s="98"/>
      <c r="AJ285" s="98"/>
      <c r="AK285" s="98"/>
      <c r="AL285" s="95"/>
    </row>
    <row r="286" spans="1:38" x14ac:dyDescent="0.25">
      <c r="A286" s="94" t="s">
        <v>390</v>
      </c>
      <c r="C286" s="94" t="s">
        <v>391</v>
      </c>
      <c r="F286" s="97">
        <f t="shared" ref="F286:M286" si="256">SUM(F280:F285)</f>
        <v>26615471.857769586</v>
      </c>
      <c r="G286" s="97">
        <f t="shared" si="256"/>
        <v>0</v>
      </c>
      <c r="H286" s="97">
        <f t="shared" si="256"/>
        <v>0</v>
      </c>
      <c r="I286" s="97">
        <f t="shared" si="256"/>
        <v>0</v>
      </c>
      <c r="J286" s="97">
        <f t="shared" si="256"/>
        <v>0</v>
      </c>
      <c r="K286" s="97">
        <f t="shared" si="256"/>
        <v>0</v>
      </c>
      <c r="L286" s="97">
        <f t="shared" si="256"/>
        <v>0</v>
      </c>
      <c r="M286" s="97">
        <f t="shared" si="256"/>
        <v>0</v>
      </c>
      <c r="N286" s="97"/>
      <c r="O286" s="97">
        <f>SUM(O280:O285)</f>
        <v>0</v>
      </c>
      <c r="P286" s="97">
        <f>SUM(P280:P285)</f>
        <v>0</v>
      </c>
      <c r="Q286" s="97">
        <f>SUM(Q280:Q285)</f>
        <v>0</v>
      </c>
      <c r="R286" s="97"/>
      <c r="S286" s="97">
        <f t="shared" ref="S286:AD286" si="257">SUM(S280:S285)</f>
        <v>0</v>
      </c>
      <c r="T286" s="97">
        <f t="shared" si="257"/>
        <v>0</v>
      </c>
      <c r="U286" s="97">
        <f t="shared" si="257"/>
        <v>0</v>
      </c>
      <c r="V286" s="97">
        <f t="shared" si="257"/>
        <v>0</v>
      </c>
      <c r="W286" s="97">
        <f t="shared" si="257"/>
        <v>0</v>
      </c>
      <c r="X286" s="97">
        <f t="shared" si="257"/>
        <v>0</v>
      </c>
      <c r="Y286" s="97">
        <f t="shared" si="257"/>
        <v>0</v>
      </c>
      <c r="Z286" s="97">
        <f t="shared" si="257"/>
        <v>0</v>
      </c>
      <c r="AA286" s="97">
        <f t="shared" si="257"/>
        <v>0</v>
      </c>
      <c r="AB286" s="97">
        <f t="shared" si="257"/>
        <v>0</v>
      </c>
      <c r="AC286" s="97">
        <f t="shared" si="257"/>
        <v>0</v>
      </c>
      <c r="AD286" s="97">
        <f t="shared" si="257"/>
        <v>0</v>
      </c>
      <c r="AE286" s="97"/>
      <c r="AF286" s="97">
        <f>SUM(AF280:AF285)</f>
        <v>26615471.857769586</v>
      </c>
      <c r="AG286" s="97"/>
      <c r="AH286" s="97">
        <f>SUM(AH280:AH285)</f>
        <v>0</v>
      </c>
      <c r="AI286" s="97"/>
      <c r="AJ286" s="97">
        <f>SUM(AJ280:AJ285)</f>
        <v>0</v>
      </c>
      <c r="AK286" s="98">
        <f>SUM(H286:AJ286)</f>
        <v>26615471.857769586</v>
      </c>
      <c r="AL286" s="95" t="str">
        <f>IF(ABS(AK286-F286)&lt;1,"ok","err")</f>
        <v>ok</v>
      </c>
    </row>
    <row r="287" spans="1:38" x14ac:dyDescent="0.25">
      <c r="F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  <c r="AA287" s="98"/>
      <c r="AB287" s="98"/>
      <c r="AC287" s="98"/>
      <c r="AD287" s="98"/>
      <c r="AE287" s="98"/>
      <c r="AF287" s="98"/>
      <c r="AG287" s="98"/>
      <c r="AH287" s="98"/>
      <c r="AI287" s="98"/>
      <c r="AJ287" s="98"/>
      <c r="AL287" s="95"/>
    </row>
    <row r="288" spans="1:38" x14ac:dyDescent="0.25">
      <c r="A288" s="16" t="s">
        <v>392</v>
      </c>
      <c r="F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  <c r="AA288" s="98"/>
      <c r="AB288" s="98"/>
      <c r="AC288" s="98"/>
      <c r="AD288" s="98"/>
      <c r="AE288" s="98"/>
      <c r="AF288" s="98"/>
      <c r="AG288" s="98"/>
      <c r="AH288" s="98"/>
      <c r="AI288" s="98"/>
      <c r="AJ288" s="98"/>
      <c r="AL288" s="95"/>
    </row>
    <row r="289" spans="1:38" x14ac:dyDescent="0.25">
      <c r="A289" s="94">
        <v>907</v>
      </c>
      <c r="B289" s="94" t="s">
        <v>580</v>
      </c>
      <c r="C289" s="94" t="s">
        <v>393</v>
      </c>
      <c r="D289" s="94" t="s">
        <v>891</v>
      </c>
      <c r="F289" s="97">
        <f>'Jurisdictional Study'!F1056</f>
        <v>205546.2311907371</v>
      </c>
      <c r="H289" s="98">
        <f t="shared" ref="H289:H299" si="258">IF(VLOOKUP($D289,$C$5:$AJ$646,6,)=0,0,((VLOOKUP($D289,$C$5:$AJ$646,6,)/VLOOKUP($D289,$C$5:$AJ$646,4,))*$F289))</f>
        <v>0</v>
      </c>
      <c r="I289" s="98">
        <f t="shared" ref="I289:I299" si="259">IF(VLOOKUP($D289,$C$5:$AJ$646,7,)=0,0,((VLOOKUP($D289,$C$5:$AJ$646,7,)/VLOOKUP($D289,$C$5:$AJ$646,4,))*$F289))</f>
        <v>0</v>
      </c>
      <c r="J289" s="98">
        <f t="shared" ref="J289:J299" si="260">IF(VLOOKUP($D289,$C$5:$AJ$646,8,)=0,0,((VLOOKUP($D289,$C$5:$AJ$646,8,)/VLOOKUP($D289,$C$5:$AJ$646,4,))*$F289))</f>
        <v>0</v>
      </c>
      <c r="K289" s="98">
        <f t="shared" ref="K289:K299" si="261">IF(VLOOKUP($D289,$C$5:$AJ$646,9,)=0,0,((VLOOKUP($D289,$C$5:$AJ$646,9,)/VLOOKUP($D289,$C$5:$AJ$646,4,))*$F289))</f>
        <v>0</v>
      </c>
      <c r="L289" s="98">
        <f t="shared" ref="L289:L299" si="262">IF(VLOOKUP($D289,$C$5:$AJ$646,10,)=0,0,((VLOOKUP($D289,$C$5:$AJ$646,10,)/VLOOKUP($D289,$C$5:$AJ$646,4,))*$F289))</f>
        <v>0</v>
      </c>
      <c r="M289" s="98">
        <f t="shared" ref="M289:M299" si="263">IF(VLOOKUP($D289,$C$5:$AJ$646,11,)=0,0,((VLOOKUP($D289,$C$5:$AJ$646,11,)/VLOOKUP($D289,$C$5:$AJ$646,4,))*$F289))</f>
        <v>0</v>
      </c>
      <c r="N289" s="98"/>
      <c r="O289" s="98">
        <f t="shared" ref="O289:O299" si="264">IF(VLOOKUP($D289,$C$5:$AJ$646,13,)=0,0,((VLOOKUP($D289,$C$5:$AJ$646,13,)/VLOOKUP($D289,$C$5:$AJ$646,4,))*$F289))</f>
        <v>0</v>
      </c>
      <c r="P289" s="98">
        <f t="shared" ref="P289:P299" si="265">IF(VLOOKUP($D289,$C$5:$AJ$646,14,)=0,0,((VLOOKUP($D289,$C$5:$AJ$646,14,)/VLOOKUP($D289,$C$5:$AJ$646,4,))*$F289))</f>
        <v>0</v>
      </c>
      <c r="Q289" s="98">
        <f t="shared" ref="Q289:Q299" si="266">IF(VLOOKUP($D289,$C$5:$AJ$646,15,)=0,0,((VLOOKUP($D289,$C$5:$AJ$646,15,)/VLOOKUP($D289,$C$5:$AJ$646,4,))*$F289))</f>
        <v>0</v>
      </c>
      <c r="R289" s="98"/>
      <c r="S289" s="98">
        <f t="shared" ref="S289:S299" si="267">IF(VLOOKUP($D289,$C$5:$AJ$646,17,)=0,0,((VLOOKUP($D289,$C$5:$AJ$646,17,)/VLOOKUP($D289,$C$5:$AJ$646,4,))*$F289))</f>
        <v>0</v>
      </c>
      <c r="T289" s="98">
        <f t="shared" ref="T289:T299" si="268">IF(VLOOKUP($D289,$C$5:$AJ$646,18,)=0,0,((VLOOKUP($D289,$C$5:$AJ$646,18,)/VLOOKUP($D289,$C$5:$AJ$646,4,))*$F289))</f>
        <v>0</v>
      </c>
      <c r="U289" s="98">
        <f t="shared" ref="U289:U299" si="269">IF(VLOOKUP($D289,$C$5:$AJ$646,19,)=0,0,((VLOOKUP($D289,$C$5:$AJ$646,19,)/VLOOKUP($D289,$C$5:$AJ$646,4,))*$F289))</f>
        <v>0</v>
      </c>
      <c r="V289" s="98">
        <f t="shared" ref="V289:V299" si="270">IF(VLOOKUP($D289,$C$5:$AJ$646,20,)=0,0,((VLOOKUP($D289,$C$5:$AJ$646,20,)/VLOOKUP($D289,$C$5:$AJ$646,4,))*$F289))</f>
        <v>0</v>
      </c>
      <c r="W289" s="98">
        <f t="shared" ref="W289:W299" si="271">IF(VLOOKUP($D289,$C$5:$AJ$646,21,)=0,0,((VLOOKUP($D289,$C$5:$AJ$646,21,)/VLOOKUP($D289,$C$5:$AJ$646,4,))*$F289))</f>
        <v>0</v>
      </c>
      <c r="X289" s="98">
        <f t="shared" ref="X289:X299" si="272">IF(VLOOKUP($D289,$C$5:$AJ$646,22,)=0,0,((VLOOKUP($D289,$C$5:$AJ$646,22,)/VLOOKUP($D289,$C$5:$AJ$646,4,))*$F289))</f>
        <v>0</v>
      </c>
      <c r="Y289" s="98">
        <f t="shared" ref="Y289:Y299" si="273">IF(VLOOKUP($D289,$C$5:$AJ$646,23,)=0,0,((VLOOKUP($D289,$C$5:$AJ$646,23,)/VLOOKUP($D289,$C$5:$AJ$646,4,))*$F289))</f>
        <v>0</v>
      </c>
      <c r="Z289" s="98">
        <f t="shared" ref="Z289:Z299" si="274">IF(VLOOKUP($D289,$C$5:$AJ$646,24,)=0,0,((VLOOKUP($D289,$C$5:$AJ$646,24,)/VLOOKUP($D289,$C$5:$AJ$646,4,))*$F289))</f>
        <v>0</v>
      </c>
      <c r="AA289" s="98">
        <f t="shared" ref="AA289:AA299" si="275">IF(VLOOKUP($D289,$C$5:$AJ$646,25,)=0,0,((VLOOKUP($D289,$C$5:$AJ$646,25,)/VLOOKUP($D289,$C$5:$AJ$646,4,))*$F289))</f>
        <v>0</v>
      </c>
      <c r="AB289" s="98">
        <f t="shared" ref="AB289:AB299" si="276">IF(VLOOKUP($D289,$C$5:$AJ$646,26,)=0,0,((VLOOKUP($D289,$C$5:$AJ$646,26,)/VLOOKUP($D289,$C$5:$AJ$646,4,))*$F289))</f>
        <v>0</v>
      </c>
      <c r="AC289" s="98">
        <f t="shared" ref="AC289:AC299" si="277">IF(VLOOKUP($D289,$C$5:$AJ$646,27,)=0,0,((VLOOKUP($D289,$C$5:$AJ$646,27,)/VLOOKUP($D289,$C$5:$AJ$646,4,))*$F289))</f>
        <v>0</v>
      </c>
      <c r="AD289" s="98">
        <f t="shared" ref="AD289:AD299" si="278">IF(VLOOKUP($D289,$C$5:$AJ$646,28,)=0,0,((VLOOKUP($D289,$C$5:$AJ$646,28,)/VLOOKUP($D289,$C$5:$AJ$646,4,))*$F289))</f>
        <v>0</v>
      </c>
      <c r="AE289" s="98"/>
      <c r="AF289" s="98">
        <f t="shared" ref="AF289:AF299" si="279">IF(VLOOKUP($D289,$C$5:$AJ$646,30,)=0,0,((VLOOKUP($D289,$C$5:$AJ$646,30,)/VLOOKUP($D289,$C$5:$AJ$646,4,))*$F289))</f>
        <v>0</v>
      </c>
      <c r="AG289" s="98"/>
      <c r="AH289" s="98">
        <f t="shared" ref="AH289:AH299" si="280">IF(VLOOKUP($D289,$C$5:$AJ$646,32,)=0,0,((VLOOKUP($D289,$C$5:$AJ$646,32,)/VLOOKUP($D289,$C$5:$AJ$646,4,))*$F289))</f>
        <v>205546.2311907371</v>
      </c>
      <c r="AI289" s="98"/>
      <c r="AJ289" s="98">
        <f t="shared" ref="AJ289:AJ299" si="281">IF(VLOOKUP($D289,$C$5:$AJ$646,34,)=0,0,((VLOOKUP($D289,$C$5:$AJ$646,34,)/VLOOKUP($D289,$C$5:$AJ$646,4,))*$F289))</f>
        <v>0</v>
      </c>
      <c r="AK289" s="98">
        <f t="shared" ref="AK289:AK299" si="282">SUM(H289:AJ289)</f>
        <v>205546.2311907371</v>
      </c>
      <c r="AL289" s="95" t="str">
        <f t="shared" ref="AL289:AL299" si="283">IF(ABS(AK289-F289)&lt;1,"ok","err")</f>
        <v>ok</v>
      </c>
    </row>
    <row r="290" spans="1:38" x14ac:dyDescent="0.25">
      <c r="A290" s="94">
        <v>908</v>
      </c>
      <c r="B290" s="94" t="s">
        <v>1494</v>
      </c>
      <c r="C290" s="94" t="s">
        <v>1495</v>
      </c>
      <c r="D290" s="94" t="s">
        <v>891</v>
      </c>
      <c r="F290" s="98">
        <f>'Jurisdictional Study'!F1057</f>
        <v>13664342.49</v>
      </c>
      <c r="H290" s="98">
        <f t="shared" si="258"/>
        <v>0</v>
      </c>
      <c r="I290" s="98">
        <f t="shared" si="259"/>
        <v>0</v>
      </c>
      <c r="J290" s="98">
        <f t="shared" si="260"/>
        <v>0</v>
      </c>
      <c r="K290" s="98">
        <f t="shared" si="261"/>
        <v>0</v>
      </c>
      <c r="L290" s="98">
        <f t="shared" si="262"/>
        <v>0</v>
      </c>
      <c r="M290" s="98">
        <f t="shared" si="263"/>
        <v>0</v>
      </c>
      <c r="N290" s="98"/>
      <c r="O290" s="98">
        <f t="shared" si="264"/>
        <v>0</v>
      </c>
      <c r="P290" s="98">
        <f t="shared" si="265"/>
        <v>0</v>
      </c>
      <c r="Q290" s="98">
        <f t="shared" si="266"/>
        <v>0</v>
      </c>
      <c r="R290" s="98"/>
      <c r="S290" s="98">
        <f t="shared" si="267"/>
        <v>0</v>
      </c>
      <c r="T290" s="98">
        <f t="shared" si="268"/>
        <v>0</v>
      </c>
      <c r="U290" s="98">
        <f t="shared" si="269"/>
        <v>0</v>
      </c>
      <c r="V290" s="98">
        <f t="shared" si="270"/>
        <v>0</v>
      </c>
      <c r="W290" s="98">
        <f t="shared" si="271"/>
        <v>0</v>
      </c>
      <c r="X290" s="98">
        <f t="shared" si="272"/>
        <v>0</v>
      </c>
      <c r="Y290" s="98">
        <f t="shared" si="273"/>
        <v>0</v>
      </c>
      <c r="Z290" s="98">
        <f t="shared" si="274"/>
        <v>0</v>
      </c>
      <c r="AA290" s="98">
        <f t="shared" si="275"/>
        <v>0</v>
      </c>
      <c r="AB290" s="98">
        <f t="shared" si="276"/>
        <v>0</v>
      </c>
      <c r="AC290" s="98">
        <f t="shared" si="277"/>
        <v>0</v>
      </c>
      <c r="AD290" s="98">
        <f t="shared" si="278"/>
        <v>0</v>
      </c>
      <c r="AE290" s="98"/>
      <c r="AF290" s="98">
        <f t="shared" si="279"/>
        <v>0</v>
      </c>
      <c r="AG290" s="98"/>
      <c r="AH290" s="98">
        <f t="shared" si="280"/>
        <v>13664342.49</v>
      </c>
      <c r="AI290" s="98"/>
      <c r="AJ290" s="98">
        <f t="shared" si="281"/>
        <v>0</v>
      </c>
      <c r="AK290" s="98">
        <f t="shared" si="282"/>
        <v>13664342.49</v>
      </c>
      <c r="AL290" s="95" t="str">
        <f t="shared" si="283"/>
        <v>ok</v>
      </c>
    </row>
    <row r="291" spans="1:38" x14ac:dyDescent="0.25">
      <c r="A291" s="94">
        <v>908</v>
      </c>
      <c r="B291" s="94" t="s">
        <v>1152</v>
      </c>
      <c r="C291" s="94" t="s">
        <v>1717</v>
      </c>
      <c r="D291" s="94" t="s">
        <v>891</v>
      </c>
      <c r="F291" s="98">
        <v>0</v>
      </c>
      <c r="H291" s="98">
        <f t="shared" si="258"/>
        <v>0</v>
      </c>
      <c r="I291" s="98">
        <f t="shared" si="259"/>
        <v>0</v>
      </c>
      <c r="J291" s="98">
        <f t="shared" si="260"/>
        <v>0</v>
      </c>
      <c r="K291" s="98">
        <f t="shared" si="261"/>
        <v>0</v>
      </c>
      <c r="L291" s="98">
        <f t="shared" si="262"/>
        <v>0</v>
      </c>
      <c r="M291" s="98">
        <f t="shared" si="263"/>
        <v>0</v>
      </c>
      <c r="N291" s="98"/>
      <c r="O291" s="98">
        <f t="shared" si="264"/>
        <v>0</v>
      </c>
      <c r="P291" s="98">
        <f t="shared" si="265"/>
        <v>0</v>
      </c>
      <c r="Q291" s="98">
        <f t="shared" si="266"/>
        <v>0</v>
      </c>
      <c r="R291" s="98"/>
      <c r="S291" s="98">
        <f t="shared" si="267"/>
        <v>0</v>
      </c>
      <c r="T291" s="98">
        <f t="shared" si="268"/>
        <v>0</v>
      </c>
      <c r="U291" s="98">
        <f t="shared" si="269"/>
        <v>0</v>
      </c>
      <c r="V291" s="98">
        <f t="shared" si="270"/>
        <v>0</v>
      </c>
      <c r="W291" s="98">
        <f t="shared" si="271"/>
        <v>0</v>
      </c>
      <c r="X291" s="98">
        <f t="shared" si="272"/>
        <v>0</v>
      </c>
      <c r="Y291" s="98">
        <f t="shared" si="273"/>
        <v>0</v>
      </c>
      <c r="Z291" s="98">
        <f t="shared" si="274"/>
        <v>0</v>
      </c>
      <c r="AA291" s="98">
        <f t="shared" si="275"/>
        <v>0</v>
      </c>
      <c r="AB291" s="98">
        <f t="shared" si="276"/>
        <v>0</v>
      </c>
      <c r="AC291" s="98">
        <f t="shared" si="277"/>
        <v>0</v>
      </c>
      <c r="AD291" s="98">
        <f t="shared" si="278"/>
        <v>0</v>
      </c>
      <c r="AE291" s="98"/>
      <c r="AF291" s="98">
        <f t="shared" si="279"/>
        <v>0</v>
      </c>
      <c r="AG291" s="98"/>
      <c r="AH291" s="98">
        <f t="shared" si="280"/>
        <v>0</v>
      </c>
      <c r="AI291" s="98"/>
      <c r="AJ291" s="98">
        <f t="shared" si="281"/>
        <v>0</v>
      </c>
      <c r="AK291" s="98">
        <f t="shared" si="282"/>
        <v>0</v>
      </c>
      <c r="AL291" s="95" t="str">
        <f t="shared" si="283"/>
        <v>ok</v>
      </c>
    </row>
    <row r="292" spans="1:38" x14ac:dyDescent="0.25">
      <c r="A292" s="94">
        <v>909</v>
      </c>
      <c r="B292" s="94" t="s">
        <v>1496</v>
      </c>
      <c r="C292" s="94" t="s">
        <v>1497</v>
      </c>
      <c r="D292" s="94" t="s">
        <v>891</v>
      </c>
      <c r="F292" s="98">
        <f>'Jurisdictional Study'!F1058</f>
        <v>148605.20101992041</v>
      </c>
      <c r="H292" s="98">
        <f t="shared" si="258"/>
        <v>0</v>
      </c>
      <c r="I292" s="98">
        <f t="shared" si="259"/>
        <v>0</v>
      </c>
      <c r="J292" s="98">
        <f t="shared" si="260"/>
        <v>0</v>
      </c>
      <c r="K292" s="98">
        <f t="shared" si="261"/>
        <v>0</v>
      </c>
      <c r="L292" s="98">
        <f t="shared" si="262"/>
        <v>0</v>
      </c>
      <c r="M292" s="98">
        <f t="shared" si="263"/>
        <v>0</v>
      </c>
      <c r="N292" s="98"/>
      <c r="O292" s="98">
        <f t="shared" si="264"/>
        <v>0</v>
      </c>
      <c r="P292" s="98">
        <f t="shared" si="265"/>
        <v>0</v>
      </c>
      <c r="Q292" s="98">
        <f t="shared" si="266"/>
        <v>0</v>
      </c>
      <c r="R292" s="98"/>
      <c r="S292" s="98">
        <f t="shared" si="267"/>
        <v>0</v>
      </c>
      <c r="T292" s="98">
        <f t="shared" si="268"/>
        <v>0</v>
      </c>
      <c r="U292" s="98">
        <f t="shared" si="269"/>
        <v>0</v>
      </c>
      <c r="V292" s="98">
        <f t="shared" si="270"/>
        <v>0</v>
      </c>
      <c r="W292" s="98">
        <f t="shared" si="271"/>
        <v>0</v>
      </c>
      <c r="X292" s="98">
        <f t="shared" si="272"/>
        <v>0</v>
      </c>
      <c r="Y292" s="98">
        <f t="shared" si="273"/>
        <v>0</v>
      </c>
      <c r="Z292" s="98">
        <f t="shared" si="274"/>
        <v>0</v>
      </c>
      <c r="AA292" s="98">
        <f t="shared" si="275"/>
        <v>0</v>
      </c>
      <c r="AB292" s="98">
        <f t="shared" si="276"/>
        <v>0</v>
      </c>
      <c r="AC292" s="98">
        <f t="shared" si="277"/>
        <v>0</v>
      </c>
      <c r="AD292" s="98">
        <f t="shared" si="278"/>
        <v>0</v>
      </c>
      <c r="AE292" s="98"/>
      <c r="AF292" s="98">
        <f t="shared" si="279"/>
        <v>0</v>
      </c>
      <c r="AG292" s="98"/>
      <c r="AH292" s="98">
        <f t="shared" si="280"/>
        <v>148605.20101992041</v>
      </c>
      <c r="AI292" s="98"/>
      <c r="AJ292" s="98">
        <f t="shared" si="281"/>
        <v>0</v>
      </c>
      <c r="AK292" s="98">
        <f t="shared" si="282"/>
        <v>148605.20101992041</v>
      </c>
      <c r="AL292" s="95" t="str">
        <f t="shared" si="283"/>
        <v>ok</v>
      </c>
    </row>
    <row r="293" spans="1:38" x14ac:dyDescent="0.25">
      <c r="A293" s="94">
        <v>909</v>
      </c>
      <c r="B293" s="94" t="s">
        <v>1718</v>
      </c>
      <c r="C293" s="94" t="s">
        <v>1719</v>
      </c>
      <c r="D293" s="94" t="s">
        <v>891</v>
      </c>
      <c r="F293" s="98">
        <v>0</v>
      </c>
      <c r="H293" s="98">
        <f t="shared" si="258"/>
        <v>0</v>
      </c>
      <c r="I293" s="98">
        <f t="shared" si="259"/>
        <v>0</v>
      </c>
      <c r="J293" s="98">
        <f t="shared" si="260"/>
        <v>0</v>
      </c>
      <c r="K293" s="98">
        <f t="shared" si="261"/>
        <v>0</v>
      </c>
      <c r="L293" s="98">
        <f t="shared" si="262"/>
        <v>0</v>
      </c>
      <c r="M293" s="98">
        <f t="shared" si="263"/>
        <v>0</v>
      </c>
      <c r="N293" s="98"/>
      <c r="O293" s="98">
        <f t="shared" si="264"/>
        <v>0</v>
      </c>
      <c r="P293" s="98">
        <f t="shared" si="265"/>
        <v>0</v>
      </c>
      <c r="Q293" s="98">
        <f t="shared" si="266"/>
        <v>0</v>
      </c>
      <c r="R293" s="98"/>
      <c r="S293" s="98">
        <f t="shared" si="267"/>
        <v>0</v>
      </c>
      <c r="T293" s="98">
        <f t="shared" si="268"/>
        <v>0</v>
      </c>
      <c r="U293" s="98">
        <f t="shared" si="269"/>
        <v>0</v>
      </c>
      <c r="V293" s="98">
        <f t="shared" si="270"/>
        <v>0</v>
      </c>
      <c r="W293" s="98">
        <f t="shared" si="271"/>
        <v>0</v>
      </c>
      <c r="X293" s="98">
        <f t="shared" si="272"/>
        <v>0</v>
      </c>
      <c r="Y293" s="98">
        <f t="shared" si="273"/>
        <v>0</v>
      </c>
      <c r="Z293" s="98">
        <f t="shared" si="274"/>
        <v>0</v>
      </c>
      <c r="AA293" s="98">
        <f t="shared" si="275"/>
        <v>0</v>
      </c>
      <c r="AB293" s="98">
        <f t="shared" si="276"/>
        <v>0</v>
      </c>
      <c r="AC293" s="98">
        <f t="shared" si="277"/>
        <v>0</v>
      </c>
      <c r="AD293" s="98">
        <f t="shared" si="278"/>
        <v>0</v>
      </c>
      <c r="AE293" s="98"/>
      <c r="AF293" s="98">
        <f t="shared" si="279"/>
        <v>0</v>
      </c>
      <c r="AG293" s="98"/>
      <c r="AH293" s="98">
        <f t="shared" si="280"/>
        <v>0</v>
      </c>
      <c r="AI293" s="98"/>
      <c r="AJ293" s="98">
        <f t="shared" si="281"/>
        <v>0</v>
      </c>
      <c r="AK293" s="98">
        <f t="shared" si="282"/>
        <v>0</v>
      </c>
      <c r="AL293" s="95" t="str">
        <f t="shared" si="283"/>
        <v>ok</v>
      </c>
    </row>
    <row r="294" spans="1:38" x14ac:dyDescent="0.25">
      <c r="A294" s="94">
        <v>910</v>
      </c>
      <c r="B294" s="94" t="s">
        <v>1498</v>
      </c>
      <c r="C294" s="94" t="s">
        <v>1499</v>
      </c>
      <c r="D294" s="94" t="s">
        <v>891</v>
      </c>
      <c r="F294" s="98">
        <f>'Jurisdictional Study'!F1059</f>
        <v>417349.68458241964</v>
      </c>
      <c r="H294" s="98">
        <f t="shared" si="258"/>
        <v>0</v>
      </c>
      <c r="I294" s="98">
        <f t="shared" si="259"/>
        <v>0</v>
      </c>
      <c r="J294" s="98">
        <f t="shared" si="260"/>
        <v>0</v>
      </c>
      <c r="K294" s="98">
        <f t="shared" si="261"/>
        <v>0</v>
      </c>
      <c r="L294" s="98">
        <f t="shared" si="262"/>
        <v>0</v>
      </c>
      <c r="M294" s="98">
        <f t="shared" si="263"/>
        <v>0</v>
      </c>
      <c r="N294" s="98"/>
      <c r="O294" s="98">
        <f t="shared" si="264"/>
        <v>0</v>
      </c>
      <c r="P294" s="98">
        <f t="shared" si="265"/>
        <v>0</v>
      </c>
      <c r="Q294" s="98">
        <f t="shared" si="266"/>
        <v>0</v>
      </c>
      <c r="R294" s="98"/>
      <c r="S294" s="98">
        <f t="shared" si="267"/>
        <v>0</v>
      </c>
      <c r="T294" s="98">
        <f t="shared" si="268"/>
        <v>0</v>
      </c>
      <c r="U294" s="98">
        <f t="shared" si="269"/>
        <v>0</v>
      </c>
      <c r="V294" s="98">
        <f t="shared" si="270"/>
        <v>0</v>
      </c>
      <c r="W294" s="98">
        <f t="shared" si="271"/>
        <v>0</v>
      </c>
      <c r="X294" s="98">
        <f t="shared" si="272"/>
        <v>0</v>
      </c>
      <c r="Y294" s="98">
        <f t="shared" si="273"/>
        <v>0</v>
      </c>
      <c r="Z294" s="98">
        <f t="shared" si="274"/>
        <v>0</v>
      </c>
      <c r="AA294" s="98">
        <f t="shared" si="275"/>
        <v>0</v>
      </c>
      <c r="AB294" s="98">
        <f t="shared" si="276"/>
        <v>0</v>
      </c>
      <c r="AC294" s="98">
        <f t="shared" si="277"/>
        <v>0</v>
      </c>
      <c r="AD294" s="98">
        <f t="shared" si="278"/>
        <v>0</v>
      </c>
      <c r="AE294" s="98"/>
      <c r="AF294" s="98">
        <f t="shared" si="279"/>
        <v>0</v>
      </c>
      <c r="AG294" s="98"/>
      <c r="AH294" s="98">
        <f t="shared" si="280"/>
        <v>417349.68458241964</v>
      </c>
      <c r="AI294" s="98"/>
      <c r="AJ294" s="98">
        <f t="shared" si="281"/>
        <v>0</v>
      </c>
      <c r="AK294" s="98">
        <f t="shared" si="282"/>
        <v>417349.68458241964</v>
      </c>
      <c r="AL294" s="95" t="str">
        <f t="shared" si="283"/>
        <v>ok</v>
      </c>
    </row>
    <row r="295" spans="1:38" x14ac:dyDescent="0.25">
      <c r="A295" s="94">
        <v>911</v>
      </c>
      <c r="B295" s="94" t="s">
        <v>1111</v>
      </c>
      <c r="C295" s="94" t="s">
        <v>1220</v>
      </c>
      <c r="D295" s="94" t="s">
        <v>891</v>
      </c>
      <c r="F295" s="98">
        <f>'Jurisdictional Study'!F1063</f>
        <v>0</v>
      </c>
      <c r="H295" s="98">
        <f t="shared" si="258"/>
        <v>0</v>
      </c>
      <c r="I295" s="98">
        <f t="shared" si="259"/>
        <v>0</v>
      </c>
      <c r="J295" s="98">
        <f t="shared" si="260"/>
        <v>0</v>
      </c>
      <c r="K295" s="98">
        <f t="shared" si="261"/>
        <v>0</v>
      </c>
      <c r="L295" s="98">
        <f t="shared" si="262"/>
        <v>0</v>
      </c>
      <c r="M295" s="98">
        <f t="shared" si="263"/>
        <v>0</v>
      </c>
      <c r="N295" s="98"/>
      <c r="O295" s="98">
        <f t="shared" si="264"/>
        <v>0</v>
      </c>
      <c r="P295" s="98">
        <f t="shared" si="265"/>
        <v>0</v>
      </c>
      <c r="Q295" s="98">
        <f t="shared" si="266"/>
        <v>0</v>
      </c>
      <c r="R295" s="98"/>
      <c r="S295" s="98">
        <f t="shared" si="267"/>
        <v>0</v>
      </c>
      <c r="T295" s="98">
        <f t="shared" si="268"/>
        <v>0</v>
      </c>
      <c r="U295" s="98">
        <f t="shared" si="269"/>
        <v>0</v>
      </c>
      <c r="V295" s="98">
        <f t="shared" si="270"/>
        <v>0</v>
      </c>
      <c r="W295" s="98">
        <f t="shared" si="271"/>
        <v>0</v>
      </c>
      <c r="X295" s="98">
        <f t="shared" si="272"/>
        <v>0</v>
      </c>
      <c r="Y295" s="98">
        <f t="shared" si="273"/>
        <v>0</v>
      </c>
      <c r="Z295" s="98">
        <f t="shared" si="274"/>
        <v>0</v>
      </c>
      <c r="AA295" s="98">
        <f t="shared" si="275"/>
        <v>0</v>
      </c>
      <c r="AB295" s="98">
        <f t="shared" si="276"/>
        <v>0</v>
      </c>
      <c r="AC295" s="98">
        <f t="shared" si="277"/>
        <v>0</v>
      </c>
      <c r="AD295" s="98">
        <f t="shared" si="278"/>
        <v>0</v>
      </c>
      <c r="AE295" s="98"/>
      <c r="AF295" s="98">
        <f t="shared" si="279"/>
        <v>0</v>
      </c>
      <c r="AG295" s="98"/>
      <c r="AH295" s="98">
        <f t="shared" si="280"/>
        <v>0</v>
      </c>
      <c r="AI295" s="98"/>
      <c r="AJ295" s="98">
        <f t="shared" si="281"/>
        <v>0</v>
      </c>
      <c r="AK295" s="98">
        <f t="shared" si="282"/>
        <v>0</v>
      </c>
      <c r="AL295" s="95" t="str">
        <f t="shared" si="283"/>
        <v>ok</v>
      </c>
    </row>
    <row r="296" spans="1:38" x14ac:dyDescent="0.25">
      <c r="A296" s="94">
        <v>912</v>
      </c>
      <c r="B296" s="94" t="s">
        <v>1111</v>
      </c>
      <c r="C296" s="94" t="s">
        <v>1112</v>
      </c>
      <c r="D296" s="94" t="s">
        <v>891</v>
      </c>
      <c r="F296" s="98">
        <f>'Jurisdictional Study'!F1064</f>
        <v>0</v>
      </c>
      <c r="H296" s="98">
        <f t="shared" si="258"/>
        <v>0</v>
      </c>
      <c r="I296" s="98">
        <f t="shared" si="259"/>
        <v>0</v>
      </c>
      <c r="J296" s="98">
        <f t="shared" si="260"/>
        <v>0</v>
      </c>
      <c r="K296" s="98">
        <f t="shared" si="261"/>
        <v>0</v>
      </c>
      <c r="L296" s="98">
        <f t="shared" si="262"/>
        <v>0</v>
      </c>
      <c r="M296" s="98">
        <f t="shared" si="263"/>
        <v>0</v>
      </c>
      <c r="N296" s="98"/>
      <c r="O296" s="98">
        <f t="shared" si="264"/>
        <v>0</v>
      </c>
      <c r="P296" s="98">
        <f t="shared" si="265"/>
        <v>0</v>
      </c>
      <c r="Q296" s="98">
        <f t="shared" si="266"/>
        <v>0</v>
      </c>
      <c r="R296" s="98"/>
      <c r="S296" s="98">
        <f t="shared" si="267"/>
        <v>0</v>
      </c>
      <c r="T296" s="98">
        <f t="shared" si="268"/>
        <v>0</v>
      </c>
      <c r="U296" s="98">
        <f t="shared" si="269"/>
        <v>0</v>
      </c>
      <c r="V296" s="98">
        <f t="shared" si="270"/>
        <v>0</v>
      </c>
      <c r="W296" s="98">
        <f t="shared" si="271"/>
        <v>0</v>
      </c>
      <c r="X296" s="98">
        <f t="shared" si="272"/>
        <v>0</v>
      </c>
      <c r="Y296" s="98">
        <f t="shared" si="273"/>
        <v>0</v>
      </c>
      <c r="Z296" s="98">
        <f t="shared" si="274"/>
        <v>0</v>
      </c>
      <c r="AA296" s="98">
        <f t="shared" si="275"/>
        <v>0</v>
      </c>
      <c r="AB296" s="98">
        <f t="shared" si="276"/>
        <v>0</v>
      </c>
      <c r="AC296" s="98">
        <f t="shared" si="277"/>
        <v>0</v>
      </c>
      <c r="AD296" s="98">
        <f t="shared" si="278"/>
        <v>0</v>
      </c>
      <c r="AE296" s="98"/>
      <c r="AF296" s="98">
        <f t="shared" si="279"/>
        <v>0</v>
      </c>
      <c r="AG296" s="98"/>
      <c r="AH296" s="98">
        <f t="shared" si="280"/>
        <v>0</v>
      </c>
      <c r="AI296" s="98"/>
      <c r="AJ296" s="98">
        <f t="shared" si="281"/>
        <v>0</v>
      </c>
      <c r="AK296" s="98">
        <f t="shared" si="282"/>
        <v>0</v>
      </c>
      <c r="AL296" s="95" t="str">
        <f t="shared" si="283"/>
        <v>ok</v>
      </c>
    </row>
    <row r="297" spans="1:38" x14ac:dyDescent="0.25">
      <c r="A297" s="94">
        <v>913</v>
      </c>
      <c r="B297" s="94" t="s">
        <v>1120</v>
      </c>
      <c r="C297" s="94" t="s">
        <v>618</v>
      </c>
      <c r="D297" s="94" t="s">
        <v>891</v>
      </c>
      <c r="F297" s="98">
        <f>'Jurisdictional Study'!F1065</f>
        <v>22671.514794681963</v>
      </c>
      <c r="H297" s="98">
        <f t="shared" si="258"/>
        <v>0</v>
      </c>
      <c r="I297" s="98">
        <f t="shared" si="259"/>
        <v>0</v>
      </c>
      <c r="J297" s="98">
        <f t="shared" si="260"/>
        <v>0</v>
      </c>
      <c r="K297" s="98">
        <f t="shared" si="261"/>
        <v>0</v>
      </c>
      <c r="L297" s="98">
        <f t="shared" si="262"/>
        <v>0</v>
      </c>
      <c r="M297" s="98">
        <f t="shared" si="263"/>
        <v>0</v>
      </c>
      <c r="N297" s="98"/>
      <c r="O297" s="98">
        <f t="shared" si="264"/>
        <v>0</v>
      </c>
      <c r="P297" s="98">
        <f t="shared" si="265"/>
        <v>0</v>
      </c>
      <c r="Q297" s="98">
        <f t="shared" si="266"/>
        <v>0</v>
      </c>
      <c r="R297" s="98"/>
      <c r="S297" s="98">
        <f t="shared" si="267"/>
        <v>0</v>
      </c>
      <c r="T297" s="98">
        <f t="shared" si="268"/>
        <v>0</v>
      </c>
      <c r="U297" s="98">
        <f t="shared" si="269"/>
        <v>0</v>
      </c>
      <c r="V297" s="98">
        <f t="shared" si="270"/>
        <v>0</v>
      </c>
      <c r="W297" s="98">
        <f t="shared" si="271"/>
        <v>0</v>
      </c>
      <c r="X297" s="98">
        <f t="shared" si="272"/>
        <v>0</v>
      </c>
      <c r="Y297" s="98">
        <f t="shared" si="273"/>
        <v>0</v>
      </c>
      <c r="Z297" s="98">
        <f t="shared" si="274"/>
        <v>0</v>
      </c>
      <c r="AA297" s="98">
        <f t="shared" si="275"/>
        <v>0</v>
      </c>
      <c r="AB297" s="98">
        <f t="shared" si="276"/>
        <v>0</v>
      </c>
      <c r="AC297" s="98">
        <f t="shared" si="277"/>
        <v>0</v>
      </c>
      <c r="AD297" s="98">
        <f t="shared" si="278"/>
        <v>0</v>
      </c>
      <c r="AE297" s="98"/>
      <c r="AF297" s="98">
        <f t="shared" si="279"/>
        <v>0</v>
      </c>
      <c r="AG297" s="98"/>
      <c r="AH297" s="98">
        <f t="shared" si="280"/>
        <v>22671.514794681963</v>
      </c>
      <c r="AI297" s="98"/>
      <c r="AJ297" s="98">
        <f t="shared" si="281"/>
        <v>0</v>
      </c>
      <c r="AK297" s="98">
        <f t="shared" si="282"/>
        <v>22671.514794681963</v>
      </c>
      <c r="AL297" s="95" t="str">
        <f t="shared" si="283"/>
        <v>ok</v>
      </c>
    </row>
    <row r="298" spans="1:38" x14ac:dyDescent="0.25">
      <c r="A298" s="94">
        <v>915</v>
      </c>
      <c r="B298" s="94" t="s">
        <v>1121</v>
      </c>
      <c r="C298" s="94" t="s">
        <v>1123</v>
      </c>
      <c r="D298" s="94" t="s">
        <v>891</v>
      </c>
      <c r="F298" s="98">
        <v>0</v>
      </c>
      <c r="H298" s="98">
        <f t="shared" si="258"/>
        <v>0</v>
      </c>
      <c r="I298" s="98">
        <f t="shared" si="259"/>
        <v>0</v>
      </c>
      <c r="J298" s="98">
        <f t="shared" si="260"/>
        <v>0</v>
      </c>
      <c r="K298" s="98">
        <f t="shared" si="261"/>
        <v>0</v>
      </c>
      <c r="L298" s="98">
        <f t="shared" si="262"/>
        <v>0</v>
      </c>
      <c r="M298" s="98">
        <f t="shared" si="263"/>
        <v>0</v>
      </c>
      <c r="N298" s="98"/>
      <c r="O298" s="98">
        <f t="shared" si="264"/>
        <v>0</v>
      </c>
      <c r="P298" s="98">
        <f t="shared" si="265"/>
        <v>0</v>
      </c>
      <c r="Q298" s="98">
        <f t="shared" si="266"/>
        <v>0</v>
      </c>
      <c r="R298" s="98"/>
      <c r="S298" s="98">
        <f t="shared" si="267"/>
        <v>0</v>
      </c>
      <c r="T298" s="98">
        <f t="shared" si="268"/>
        <v>0</v>
      </c>
      <c r="U298" s="98">
        <f t="shared" si="269"/>
        <v>0</v>
      </c>
      <c r="V298" s="98">
        <f t="shared" si="270"/>
        <v>0</v>
      </c>
      <c r="W298" s="98">
        <f t="shared" si="271"/>
        <v>0</v>
      </c>
      <c r="X298" s="98">
        <f t="shared" si="272"/>
        <v>0</v>
      </c>
      <c r="Y298" s="98">
        <f t="shared" si="273"/>
        <v>0</v>
      </c>
      <c r="Z298" s="98">
        <f t="shared" si="274"/>
        <v>0</v>
      </c>
      <c r="AA298" s="98">
        <f t="shared" si="275"/>
        <v>0</v>
      </c>
      <c r="AB298" s="98">
        <f t="shared" si="276"/>
        <v>0</v>
      </c>
      <c r="AC298" s="98">
        <f t="shared" si="277"/>
        <v>0</v>
      </c>
      <c r="AD298" s="98">
        <f t="shared" si="278"/>
        <v>0</v>
      </c>
      <c r="AE298" s="98"/>
      <c r="AF298" s="98">
        <f t="shared" si="279"/>
        <v>0</v>
      </c>
      <c r="AG298" s="98"/>
      <c r="AH298" s="98">
        <f t="shared" si="280"/>
        <v>0</v>
      </c>
      <c r="AI298" s="98"/>
      <c r="AJ298" s="98">
        <f t="shared" si="281"/>
        <v>0</v>
      </c>
      <c r="AK298" s="98">
        <f t="shared" si="282"/>
        <v>0</v>
      </c>
      <c r="AL298" s="95" t="str">
        <f t="shared" si="283"/>
        <v>ok</v>
      </c>
    </row>
    <row r="299" spans="1:38" x14ac:dyDescent="0.25">
      <c r="A299" s="94">
        <v>916</v>
      </c>
      <c r="B299" s="94" t="s">
        <v>1122</v>
      </c>
      <c r="C299" s="94" t="s">
        <v>1124</v>
      </c>
      <c r="D299" s="94" t="s">
        <v>891</v>
      </c>
      <c r="F299" s="98">
        <f>'Jurisdictional Study'!F1066</f>
        <v>0</v>
      </c>
      <c r="H299" s="98">
        <f t="shared" si="258"/>
        <v>0</v>
      </c>
      <c r="I299" s="98">
        <f t="shared" si="259"/>
        <v>0</v>
      </c>
      <c r="J299" s="98">
        <f t="shared" si="260"/>
        <v>0</v>
      </c>
      <c r="K299" s="98">
        <f t="shared" si="261"/>
        <v>0</v>
      </c>
      <c r="L299" s="98">
        <f t="shared" si="262"/>
        <v>0</v>
      </c>
      <c r="M299" s="98">
        <f t="shared" si="263"/>
        <v>0</v>
      </c>
      <c r="N299" s="98"/>
      <c r="O299" s="98">
        <f t="shared" si="264"/>
        <v>0</v>
      </c>
      <c r="P299" s="98">
        <f t="shared" si="265"/>
        <v>0</v>
      </c>
      <c r="Q299" s="98">
        <f t="shared" si="266"/>
        <v>0</v>
      </c>
      <c r="R299" s="98"/>
      <c r="S299" s="98">
        <f t="shared" si="267"/>
        <v>0</v>
      </c>
      <c r="T299" s="98">
        <f t="shared" si="268"/>
        <v>0</v>
      </c>
      <c r="U299" s="98">
        <f t="shared" si="269"/>
        <v>0</v>
      </c>
      <c r="V299" s="98">
        <f t="shared" si="270"/>
        <v>0</v>
      </c>
      <c r="W299" s="98">
        <f t="shared" si="271"/>
        <v>0</v>
      </c>
      <c r="X299" s="98">
        <f t="shared" si="272"/>
        <v>0</v>
      </c>
      <c r="Y299" s="98">
        <f t="shared" si="273"/>
        <v>0</v>
      </c>
      <c r="Z299" s="98">
        <f t="shared" si="274"/>
        <v>0</v>
      </c>
      <c r="AA299" s="98">
        <f t="shared" si="275"/>
        <v>0</v>
      </c>
      <c r="AB299" s="98">
        <f t="shared" si="276"/>
        <v>0</v>
      </c>
      <c r="AC299" s="98">
        <f t="shared" si="277"/>
        <v>0</v>
      </c>
      <c r="AD299" s="98">
        <f t="shared" si="278"/>
        <v>0</v>
      </c>
      <c r="AE299" s="98"/>
      <c r="AF299" s="98">
        <f t="shared" si="279"/>
        <v>0</v>
      </c>
      <c r="AG299" s="98"/>
      <c r="AH299" s="98">
        <f t="shared" si="280"/>
        <v>0</v>
      </c>
      <c r="AI299" s="98"/>
      <c r="AJ299" s="98">
        <f t="shared" si="281"/>
        <v>0</v>
      </c>
      <c r="AK299" s="98">
        <f t="shared" si="282"/>
        <v>0</v>
      </c>
      <c r="AL299" s="95" t="str">
        <f t="shared" si="283"/>
        <v>ok</v>
      </c>
    </row>
    <row r="300" spans="1:38" x14ac:dyDescent="0.25">
      <c r="F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  <c r="AA300" s="98"/>
      <c r="AB300" s="98"/>
      <c r="AC300" s="98"/>
      <c r="AD300" s="98"/>
      <c r="AE300" s="98"/>
      <c r="AF300" s="98"/>
      <c r="AG300" s="98"/>
      <c r="AH300" s="98"/>
      <c r="AI300" s="98"/>
      <c r="AJ300" s="98"/>
      <c r="AK300" s="98"/>
      <c r="AL300" s="95"/>
    </row>
    <row r="301" spans="1:38" x14ac:dyDescent="0.25">
      <c r="A301" s="94" t="s">
        <v>1500</v>
      </c>
      <c r="C301" s="94" t="s">
        <v>1501</v>
      </c>
      <c r="F301" s="97">
        <f t="shared" ref="F301:M301" si="284">SUM(F289:F300)</f>
        <v>14458515.121587759</v>
      </c>
      <c r="G301" s="97">
        <f t="shared" si="284"/>
        <v>0</v>
      </c>
      <c r="H301" s="97">
        <f t="shared" si="284"/>
        <v>0</v>
      </c>
      <c r="I301" s="97">
        <f t="shared" si="284"/>
        <v>0</v>
      </c>
      <c r="J301" s="97">
        <f t="shared" si="284"/>
        <v>0</v>
      </c>
      <c r="K301" s="97">
        <f t="shared" si="284"/>
        <v>0</v>
      </c>
      <c r="L301" s="97">
        <f t="shared" si="284"/>
        <v>0</v>
      </c>
      <c r="M301" s="97">
        <f t="shared" si="284"/>
        <v>0</v>
      </c>
      <c r="N301" s="97"/>
      <c r="O301" s="97">
        <f>SUM(O289:O300)</f>
        <v>0</v>
      </c>
      <c r="P301" s="97">
        <f>SUM(P289:P300)</f>
        <v>0</v>
      </c>
      <c r="Q301" s="97">
        <f>SUM(Q289:Q300)</f>
        <v>0</v>
      </c>
      <c r="R301" s="97"/>
      <c r="S301" s="97">
        <f t="shared" ref="S301:AD301" si="285">SUM(S289:S300)</f>
        <v>0</v>
      </c>
      <c r="T301" s="97">
        <f t="shared" si="285"/>
        <v>0</v>
      </c>
      <c r="U301" s="97">
        <f t="shared" si="285"/>
        <v>0</v>
      </c>
      <c r="V301" s="97">
        <f t="shared" si="285"/>
        <v>0</v>
      </c>
      <c r="W301" s="97">
        <f t="shared" si="285"/>
        <v>0</v>
      </c>
      <c r="X301" s="97">
        <f t="shared" si="285"/>
        <v>0</v>
      </c>
      <c r="Y301" s="97">
        <f t="shared" si="285"/>
        <v>0</v>
      </c>
      <c r="Z301" s="97">
        <f t="shared" si="285"/>
        <v>0</v>
      </c>
      <c r="AA301" s="97">
        <f t="shared" si="285"/>
        <v>0</v>
      </c>
      <c r="AB301" s="97">
        <f t="shared" si="285"/>
        <v>0</v>
      </c>
      <c r="AC301" s="97">
        <f t="shared" si="285"/>
        <v>0</v>
      </c>
      <c r="AD301" s="97">
        <f t="shared" si="285"/>
        <v>0</v>
      </c>
      <c r="AE301" s="97"/>
      <c r="AF301" s="97">
        <f>SUM(AF289:AF300)</f>
        <v>0</v>
      </c>
      <c r="AG301" s="97"/>
      <c r="AH301" s="97">
        <f>SUM(AH289:AH300)</f>
        <v>14458515.121587759</v>
      </c>
      <c r="AI301" s="97"/>
      <c r="AJ301" s="97">
        <f>SUM(AJ289:AJ300)</f>
        <v>0</v>
      </c>
      <c r="AK301" s="98">
        <f>SUM(H301:AJ301)</f>
        <v>14458515.121587759</v>
      </c>
      <c r="AL301" s="95" t="str">
        <f>IF(ABS(AK301-F301)&lt;1,"ok","err")</f>
        <v>ok</v>
      </c>
    </row>
    <row r="302" spans="1:38" x14ac:dyDescent="0.25">
      <c r="F302" s="98"/>
      <c r="H302" s="98"/>
      <c r="I302" s="98"/>
      <c r="J302" s="98"/>
      <c r="K302" s="98"/>
      <c r="L302" s="98"/>
      <c r="M302" s="98"/>
      <c r="N302" s="98"/>
      <c r="O302" s="98"/>
      <c r="P302" s="98"/>
      <c r="Q302" s="98"/>
      <c r="R302" s="98"/>
      <c r="S302" s="98"/>
      <c r="T302" s="98"/>
      <c r="U302" s="98"/>
      <c r="V302" s="98"/>
      <c r="W302" s="98"/>
      <c r="X302" s="98"/>
      <c r="Y302" s="98"/>
      <c r="Z302" s="98"/>
      <c r="AA302" s="98"/>
      <c r="AB302" s="98"/>
      <c r="AC302" s="98"/>
      <c r="AD302" s="98"/>
      <c r="AE302" s="98"/>
      <c r="AF302" s="98"/>
      <c r="AG302" s="98"/>
      <c r="AH302" s="98"/>
      <c r="AI302" s="98"/>
      <c r="AJ302" s="98"/>
      <c r="AL302" s="95"/>
    </row>
    <row r="303" spans="1:38" x14ac:dyDescent="0.25">
      <c r="A303" s="94" t="s">
        <v>1987</v>
      </c>
      <c r="C303" s="94" t="s">
        <v>1698</v>
      </c>
      <c r="F303" s="98">
        <f>F277+F286+F301</f>
        <v>765756407.24384093</v>
      </c>
      <c r="G303" s="98">
        <f>G275+G286+G301</f>
        <v>0</v>
      </c>
      <c r="H303" s="98">
        <f t="shared" ref="H303:M303" si="286">H277+H286+H301</f>
        <v>19450985.124532178</v>
      </c>
      <c r="I303" s="98">
        <f t="shared" si="286"/>
        <v>18336010.866076354</v>
      </c>
      <c r="J303" s="98">
        <f t="shared" si="286"/>
        <v>18831209.740257215</v>
      </c>
      <c r="K303" s="98">
        <f t="shared" si="286"/>
        <v>593681125.08711815</v>
      </c>
      <c r="L303" s="98">
        <f t="shared" si="286"/>
        <v>0</v>
      </c>
      <c r="M303" s="98">
        <f t="shared" si="286"/>
        <v>0</v>
      </c>
      <c r="N303" s="98"/>
      <c r="O303" s="98">
        <f>O277+O286+O301</f>
        <v>8040944.9911022782</v>
      </c>
      <c r="P303" s="98">
        <f>P277+P286+P301</f>
        <v>7580019.9211719753</v>
      </c>
      <c r="Q303" s="98">
        <f>Q277+Q286+Q301</f>
        <v>7784732.7869446194</v>
      </c>
      <c r="R303" s="98"/>
      <c r="S303" s="98">
        <f t="shared" ref="S303:AD303" si="287">S277+S286+S301</f>
        <v>0</v>
      </c>
      <c r="T303" s="98">
        <f t="shared" si="287"/>
        <v>3620830.9651225638</v>
      </c>
      <c r="U303" s="98">
        <f t="shared" si="287"/>
        <v>0</v>
      </c>
      <c r="V303" s="98">
        <f t="shared" si="287"/>
        <v>14061531.7497932</v>
      </c>
      <c r="W303" s="98">
        <f t="shared" si="287"/>
        <v>17397236.014576383</v>
      </c>
      <c r="X303" s="98">
        <f t="shared" si="287"/>
        <v>2481446.7793752705</v>
      </c>
      <c r="Y303" s="98">
        <f t="shared" si="287"/>
        <v>3070100.4731605384</v>
      </c>
      <c r="Z303" s="98">
        <f t="shared" si="287"/>
        <v>684490.22100409039</v>
      </c>
      <c r="AA303" s="98">
        <f t="shared" si="287"/>
        <v>585671.62906844681</v>
      </c>
      <c r="AB303" s="98">
        <f t="shared" si="287"/>
        <v>334389.21535996889</v>
      </c>
      <c r="AC303" s="98">
        <f t="shared" si="287"/>
        <v>8400615.2921832651</v>
      </c>
      <c r="AD303" s="98">
        <f t="shared" si="287"/>
        <v>341079.40763723926</v>
      </c>
      <c r="AE303" s="98"/>
      <c r="AF303" s="98">
        <f>AF277+AF286+AF301</f>
        <v>26615471.857769586</v>
      </c>
      <c r="AG303" s="98"/>
      <c r="AH303" s="98">
        <f>AH277+AH286+AH301</f>
        <v>14458515.121587759</v>
      </c>
      <c r="AI303" s="98"/>
      <c r="AJ303" s="98">
        <f>AJ277+AJ286+AJ301</f>
        <v>0</v>
      </c>
      <c r="AK303" s="98">
        <f>AK277+AK286+AK301</f>
        <v>765756407.24384117</v>
      </c>
      <c r="AL303" s="95" t="str">
        <f>IF(ABS(AK303-F303)&lt;1,"ok","err")</f>
        <v>ok</v>
      </c>
    </row>
    <row r="304" spans="1:38" x14ac:dyDescent="0.25">
      <c r="F304" s="98"/>
      <c r="H304" s="98"/>
      <c r="I304" s="98"/>
      <c r="J304" s="98"/>
      <c r="K304" s="98"/>
      <c r="L304" s="98"/>
      <c r="M304" s="98"/>
      <c r="N304" s="98"/>
      <c r="O304" s="98"/>
      <c r="P304" s="98"/>
      <c r="Q304" s="98"/>
      <c r="R304" s="98"/>
      <c r="S304" s="98"/>
      <c r="T304" s="98"/>
      <c r="U304" s="98"/>
      <c r="V304" s="98"/>
      <c r="W304" s="98"/>
      <c r="X304" s="98"/>
      <c r="Y304" s="98"/>
      <c r="Z304" s="98"/>
      <c r="AA304" s="98"/>
      <c r="AB304" s="98"/>
      <c r="AC304" s="98"/>
      <c r="AD304" s="98"/>
      <c r="AE304" s="98"/>
      <c r="AF304" s="98"/>
      <c r="AG304" s="98"/>
      <c r="AH304" s="98"/>
      <c r="AI304" s="98"/>
      <c r="AJ304" s="98"/>
      <c r="AL304" s="95"/>
    </row>
    <row r="305" spans="1:38" x14ac:dyDescent="0.25">
      <c r="F305" s="98"/>
      <c r="H305" s="98"/>
      <c r="I305" s="98"/>
      <c r="J305" s="98"/>
      <c r="K305" s="98"/>
      <c r="L305" s="98"/>
      <c r="M305" s="98"/>
      <c r="N305" s="98"/>
      <c r="O305" s="98"/>
      <c r="P305" s="98"/>
      <c r="Q305" s="98"/>
      <c r="R305" s="98"/>
      <c r="S305" s="98"/>
      <c r="T305" s="98"/>
      <c r="U305" s="98"/>
      <c r="V305" s="98"/>
      <c r="W305" s="98"/>
      <c r="X305" s="98"/>
      <c r="Y305" s="98"/>
      <c r="Z305" s="98"/>
      <c r="AA305" s="98"/>
      <c r="AB305" s="98"/>
      <c r="AC305" s="98"/>
      <c r="AD305" s="98"/>
      <c r="AE305" s="98"/>
      <c r="AF305" s="98"/>
      <c r="AG305" s="98"/>
      <c r="AH305" s="98"/>
      <c r="AI305" s="98"/>
      <c r="AJ305" s="98"/>
      <c r="AL305" s="95"/>
    </row>
    <row r="306" spans="1:38" x14ac:dyDescent="0.25">
      <c r="F306" s="98"/>
      <c r="H306" s="98"/>
      <c r="I306" s="98"/>
      <c r="J306" s="98"/>
      <c r="K306" s="98"/>
      <c r="L306" s="98"/>
      <c r="M306" s="98"/>
      <c r="N306" s="98"/>
      <c r="O306" s="98"/>
      <c r="P306" s="98"/>
      <c r="Q306" s="98"/>
      <c r="R306" s="98"/>
      <c r="S306" s="98"/>
      <c r="T306" s="98"/>
      <c r="U306" s="98"/>
      <c r="V306" s="98"/>
      <c r="W306" s="98"/>
      <c r="X306" s="98"/>
      <c r="Y306" s="98"/>
      <c r="Z306" s="98"/>
      <c r="AA306" s="98"/>
      <c r="AB306" s="98"/>
      <c r="AC306" s="98"/>
      <c r="AD306" s="98"/>
      <c r="AE306" s="98"/>
      <c r="AF306" s="98"/>
      <c r="AG306" s="98"/>
      <c r="AH306" s="98"/>
      <c r="AI306" s="98"/>
      <c r="AJ306" s="98"/>
      <c r="AL306" s="95"/>
    </row>
    <row r="307" spans="1:38" x14ac:dyDescent="0.25">
      <c r="F307" s="98"/>
      <c r="H307" s="98"/>
      <c r="I307" s="98"/>
      <c r="J307" s="98"/>
      <c r="K307" s="98"/>
      <c r="L307" s="98"/>
      <c r="M307" s="98"/>
      <c r="N307" s="98"/>
      <c r="O307" s="98"/>
      <c r="P307" s="98"/>
      <c r="Q307" s="98"/>
      <c r="R307" s="98"/>
      <c r="S307" s="98"/>
      <c r="T307" s="98"/>
      <c r="U307" s="98"/>
      <c r="V307" s="98"/>
      <c r="W307" s="98"/>
      <c r="X307" s="98"/>
      <c r="Y307" s="98"/>
      <c r="Z307" s="98"/>
      <c r="AA307" s="98"/>
      <c r="AB307" s="98"/>
      <c r="AC307" s="98"/>
      <c r="AD307" s="98"/>
      <c r="AE307" s="98"/>
      <c r="AF307" s="98"/>
      <c r="AG307" s="98"/>
      <c r="AH307" s="98"/>
      <c r="AI307" s="98"/>
      <c r="AJ307" s="98"/>
      <c r="AL307" s="95"/>
    </row>
    <row r="308" spans="1:38" x14ac:dyDescent="0.25">
      <c r="F308" s="98"/>
      <c r="H308" s="98"/>
      <c r="I308" s="98"/>
      <c r="J308" s="98"/>
      <c r="K308" s="98"/>
      <c r="L308" s="98"/>
      <c r="M308" s="98"/>
      <c r="N308" s="98"/>
      <c r="O308" s="98"/>
      <c r="P308" s="98"/>
      <c r="Q308" s="98"/>
      <c r="R308" s="98"/>
      <c r="S308" s="98"/>
      <c r="T308" s="98"/>
      <c r="U308" s="98"/>
      <c r="V308" s="98"/>
      <c r="W308" s="98"/>
      <c r="X308" s="98"/>
      <c r="Y308" s="98"/>
      <c r="Z308" s="98"/>
      <c r="AA308" s="98"/>
      <c r="AB308" s="98"/>
      <c r="AC308" s="98"/>
      <c r="AD308" s="98"/>
      <c r="AE308" s="98"/>
      <c r="AF308" s="98"/>
      <c r="AG308" s="98"/>
      <c r="AH308" s="98"/>
      <c r="AI308" s="98"/>
      <c r="AJ308" s="98"/>
      <c r="AL308" s="95"/>
    </row>
    <row r="309" spans="1:38" x14ac:dyDescent="0.25">
      <c r="A309" s="15" t="s">
        <v>379</v>
      </c>
      <c r="F309" s="98"/>
      <c r="H309" s="98"/>
      <c r="I309" s="98"/>
      <c r="J309" s="98"/>
      <c r="K309" s="98"/>
      <c r="L309" s="98"/>
      <c r="M309" s="98"/>
      <c r="N309" s="98"/>
      <c r="O309" s="98"/>
      <c r="P309" s="98"/>
      <c r="Q309" s="98"/>
      <c r="R309" s="98"/>
      <c r="S309" s="98"/>
      <c r="T309" s="98"/>
      <c r="U309" s="98"/>
      <c r="V309" s="98"/>
      <c r="W309" s="98"/>
      <c r="X309" s="98"/>
      <c r="Y309" s="98"/>
      <c r="Z309" s="98"/>
      <c r="AA309" s="98"/>
      <c r="AB309" s="98"/>
      <c r="AC309" s="98"/>
      <c r="AD309" s="98"/>
      <c r="AE309" s="98"/>
      <c r="AF309" s="98"/>
      <c r="AG309" s="98"/>
      <c r="AH309" s="98"/>
      <c r="AI309" s="98"/>
      <c r="AJ309" s="98"/>
      <c r="AL309" s="95"/>
    </row>
    <row r="310" spans="1:38" x14ac:dyDescent="0.25">
      <c r="F310" s="98"/>
      <c r="H310" s="98"/>
      <c r="I310" s="98"/>
      <c r="J310" s="98"/>
      <c r="K310" s="98"/>
      <c r="L310" s="98"/>
      <c r="M310" s="98"/>
      <c r="N310" s="98"/>
      <c r="O310" s="98"/>
      <c r="P310" s="98"/>
      <c r="Q310" s="98"/>
      <c r="R310" s="98"/>
      <c r="S310" s="98"/>
      <c r="T310" s="98"/>
      <c r="U310" s="98"/>
      <c r="V310" s="98"/>
      <c r="W310" s="98"/>
      <c r="X310" s="98"/>
      <c r="Y310" s="98"/>
      <c r="Z310" s="98"/>
      <c r="AA310" s="98"/>
      <c r="AB310" s="98"/>
      <c r="AC310" s="98"/>
      <c r="AD310" s="98"/>
      <c r="AE310" s="98"/>
      <c r="AF310" s="98"/>
      <c r="AG310" s="98"/>
      <c r="AH310" s="98"/>
      <c r="AI310" s="98"/>
      <c r="AJ310" s="98"/>
      <c r="AL310" s="95"/>
    </row>
    <row r="311" spans="1:38" x14ac:dyDescent="0.25">
      <c r="A311" s="16" t="s">
        <v>1502</v>
      </c>
      <c r="F311" s="98"/>
      <c r="H311" s="98"/>
      <c r="I311" s="98"/>
      <c r="J311" s="98"/>
      <c r="K311" s="98"/>
      <c r="L311" s="98"/>
      <c r="M311" s="98"/>
      <c r="N311" s="98"/>
      <c r="O311" s="98"/>
      <c r="P311" s="98"/>
      <c r="Q311" s="98"/>
      <c r="R311" s="98"/>
      <c r="S311" s="98"/>
      <c r="T311" s="98"/>
      <c r="U311" s="98"/>
      <c r="V311" s="98"/>
      <c r="W311" s="98"/>
      <c r="X311" s="98"/>
      <c r="Y311" s="98"/>
      <c r="Z311" s="98"/>
      <c r="AA311" s="98"/>
      <c r="AB311" s="98"/>
      <c r="AC311" s="98"/>
      <c r="AD311" s="98"/>
      <c r="AE311" s="98"/>
      <c r="AF311" s="98"/>
      <c r="AG311" s="98"/>
      <c r="AH311" s="98"/>
      <c r="AI311" s="98"/>
      <c r="AJ311" s="98"/>
      <c r="AL311" s="95"/>
    </row>
    <row r="312" spans="1:38" x14ac:dyDescent="0.25">
      <c r="A312" s="94">
        <v>920</v>
      </c>
      <c r="B312" s="94" t="s">
        <v>1503</v>
      </c>
      <c r="C312" s="94" t="s">
        <v>1504</v>
      </c>
      <c r="D312" s="94" t="s">
        <v>892</v>
      </c>
      <c r="F312" s="97">
        <f>'Jurisdictional Study'!F1076</f>
        <v>19422909.438914448</v>
      </c>
      <c r="H312" s="98">
        <f t="shared" ref="H312:H324" si="288">IF(VLOOKUP($D312,$C$5:$AJ$646,6,)=0,0,((VLOOKUP($D312,$C$5:$AJ$646,6,)/VLOOKUP($D312,$C$5:$AJ$646,4,))*$F312))</f>
        <v>1937140.5371759164</v>
      </c>
      <c r="I312" s="98">
        <f t="shared" ref="I312:I324" si="289">IF(VLOOKUP($D312,$C$5:$AJ$646,7,)=0,0,((VLOOKUP($D312,$C$5:$AJ$646,7,)/VLOOKUP($D312,$C$5:$AJ$646,4,))*$F312))</f>
        <v>1826099.2803894747</v>
      </c>
      <c r="J312" s="98">
        <f t="shared" ref="J312:J324" si="290">IF(VLOOKUP($D312,$C$5:$AJ$646,8,)=0,0,((VLOOKUP($D312,$C$5:$AJ$646,8,)/VLOOKUP($D312,$C$5:$AJ$646,4,))*$F312))</f>
        <v>1875416.5672517095</v>
      </c>
      <c r="K312" s="98">
        <f t="shared" ref="K312:K324" si="291">IF(VLOOKUP($D312,$C$5:$AJ$646,9,)=0,0,((VLOOKUP($D312,$C$5:$AJ$646,9,)/VLOOKUP($D312,$C$5:$AJ$646,4,))*$F312))</f>
        <v>4793677.0774814105</v>
      </c>
      <c r="L312" s="98">
        <f t="shared" ref="L312:L324" si="292">IF(VLOOKUP($D312,$C$5:$AJ$646,10,)=0,0,((VLOOKUP($D312,$C$5:$AJ$646,10,)/VLOOKUP($D312,$C$5:$AJ$646,4,))*$F312))</f>
        <v>0</v>
      </c>
      <c r="M312" s="98">
        <f t="shared" ref="M312:M324" si="293">IF(VLOOKUP($D312,$C$5:$AJ$646,11,)=0,0,((VLOOKUP($D312,$C$5:$AJ$646,11,)/VLOOKUP($D312,$C$5:$AJ$646,4,))*$F312))</f>
        <v>0</v>
      </c>
      <c r="N312" s="98"/>
      <c r="O312" s="98">
        <f t="shared" ref="O312:O324" si="294">IF(VLOOKUP($D312,$C$5:$AJ$646,13,)=0,0,((VLOOKUP($D312,$C$5:$AJ$646,13,)/VLOOKUP($D312,$C$5:$AJ$646,4,))*$F312))</f>
        <v>403153.51479156106</v>
      </c>
      <c r="P312" s="98">
        <f t="shared" ref="P312:P324" si="295">IF(VLOOKUP($D312,$C$5:$AJ$646,14,)=0,0,((VLOOKUP($D312,$C$5:$AJ$646,14,)/VLOOKUP($D312,$C$5:$AJ$646,4,))*$F312))</f>
        <v>380043.84768109443</v>
      </c>
      <c r="Q312" s="98">
        <f t="shared" ref="Q312:Q324" si="296">IF(VLOOKUP($D312,$C$5:$AJ$646,15,)=0,0,((VLOOKUP($D312,$C$5:$AJ$646,15,)/VLOOKUP($D312,$C$5:$AJ$646,4,))*$F312))</f>
        <v>390307.65516275476</v>
      </c>
      <c r="R312" s="98"/>
      <c r="S312" s="98">
        <f t="shared" ref="S312:S324" si="297">IF(VLOOKUP($D312,$C$5:$AJ$646,17,)=0,0,((VLOOKUP($D312,$C$5:$AJ$646,17,)/VLOOKUP($D312,$C$5:$AJ$646,4,))*$F312))</f>
        <v>0</v>
      </c>
      <c r="T312" s="98">
        <f t="shared" ref="T312:T324" si="298">IF(VLOOKUP($D312,$C$5:$AJ$646,18,)=0,0,((VLOOKUP($D312,$C$5:$AJ$646,18,)/VLOOKUP($D312,$C$5:$AJ$646,4,))*$F312))</f>
        <v>502245.70397859887</v>
      </c>
      <c r="U312" s="98">
        <f t="shared" ref="U312:U324" si="299">IF(VLOOKUP($D312,$C$5:$AJ$646,19,)=0,0,((VLOOKUP($D312,$C$5:$AJ$646,19,)/VLOOKUP($D312,$C$5:$AJ$646,4,))*$F312))</f>
        <v>0</v>
      </c>
      <c r="V312" s="98">
        <f t="shared" ref="V312:V324" si="300">IF(VLOOKUP($D312,$C$5:$AJ$646,20,)=0,0,((VLOOKUP($D312,$C$5:$AJ$646,20,)/VLOOKUP($D312,$C$5:$AJ$646,4,))*$F312))</f>
        <v>813455.1361851088</v>
      </c>
      <c r="W312" s="98">
        <f t="shared" ref="W312:W324" si="301">IF(VLOOKUP($D312,$C$5:$AJ$646,21,)=0,0,((VLOOKUP($D312,$C$5:$AJ$646,21,)/VLOOKUP($D312,$C$5:$AJ$646,4,))*$F312))</f>
        <v>1164298.8744602494</v>
      </c>
      <c r="X312" s="98">
        <f t="shared" ref="X312:X324" si="302">IF(VLOOKUP($D312,$C$5:$AJ$646,22,)=0,0,((VLOOKUP($D312,$C$5:$AJ$646,22,)/VLOOKUP($D312,$C$5:$AJ$646,4,))*$F312))</f>
        <v>143550.90638560744</v>
      </c>
      <c r="Y312" s="98">
        <f t="shared" ref="Y312:Y324" si="303">IF(VLOOKUP($D312,$C$5:$AJ$646,23,)=0,0,((VLOOKUP($D312,$C$5:$AJ$646,23,)/VLOOKUP($D312,$C$5:$AJ$646,4,))*$F312))</f>
        <v>205464.50725769106</v>
      </c>
      <c r="Z312" s="98">
        <f t="shared" ref="Z312:Z324" si="304">IF(VLOOKUP($D312,$C$5:$AJ$646,24,)=0,0,((VLOOKUP($D312,$C$5:$AJ$646,24,)/VLOOKUP($D312,$C$5:$AJ$646,4,))*$F312))</f>
        <v>505261.6597164541</v>
      </c>
      <c r="AA312" s="98">
        <f t="shared" ref="AA312:AA324" si="305">IF(VLOOKUP($D312,$C$5:$AJ$646,25,)=0,0,((VLOOKUP($D312,$C$5:$AJ$646,25,)/VLOOKUP($D312,$C$5:$AJ$646,4,))*$F312))</f>
        <v>432317.96491975681</v>
      </c>
      <c r="AB312" s="98">
        <f t="shared" ref="AB312:AB324" si="306">IF(VLOOKUP($D312,$C$5:$AJ$646,26,)=0,0,((VLOOKUP($D312,$C$5:$AJ$646,26,)/VLOOKUP($D312,$C$5:$AJ$646,4,))*$F312))</f>
        <v>289810.73479701497</v>
      </c>
      <c r="AC312" s="98">
        <f t="shared" ref="AC312:AC324" si="307">IF(VLOOKUP($D312,$C$5:$AJ$646,27,)=0,0,((VLOOKUP($D312,$C$5:$AJ$646,27,)/VLOOKUP($D312,$C$5:$AJ$646,4,))*$F312))</f>
        <v>229666.31619703787</v>
      </c>
      <c r="AD312" s="98">
        <f t="shared" ref="AD312:AD324" si="308">IF(VLOOKUP($D312,$C$5:$AJ$646,28,)=0,0,((VLOOKUP($D312,$C$5:$AJ$646,28,)/VLOOKUP($D312,$C$5:$AJ$646,4,))*$F312))</f>
        <v>337316.7110815593</v>
      </c>
      <c r="AE312" s="98"/>
      <c r="AF312" s="98">
        <f t="shared" ref="AF312:AF324" si="309">IF(VLOOKUP($D312,$C$5:$AJ$646,30,)=0,0,((VLOOKUP($D312,$C$5:$AJ$646,30,)/VLOOKUP($D312,$C$5:$AJ$646,4,))*$F312))</f>
        <v>2826912.0920518921</v>
      </c>
      <c r="AG312" s="98"/>
      <c r="AH312" s="98">
        <f t="shared" ref="AH312:AH324" si="310">IF(VLOOKUP($D312,$C$5:$AJ$646,32,)=0,0,((VLOOKUP($D312,$C$5:$AJ$646,32,)/VLOOKUP($D312,$C$5:$AJ$646,4,))*$F312))</f>
        <v>366770.35194955731</v>
      </c>
      <c r="AI312" s="98"/>
      <c r="AJ312" s="98">
        <f t="shared" ref="AJ312:AJ324" si="311">IF(VLOOKUP($D312,$C$5:$AJ$646,34,)=0,0,((VLOOKUP($D312,$C$5:$AJ$646,34,)/VLOOKUP($D312,$C$5:$AJ$646,4,))*$F312))</f>
        <v>0</v>
      </c>
      <c r="AK312" s="98">
        <f t="shared" ref="AK312:AK323" si="312">SUM(H312:AJ312)</f>
        <v>19422909.438914452</v>
      </c>
      <c r="AL312" s="95" t="str">
        <f t="shared" ref="AL312:AL323" si="313">IF(ABS(AK312-F312)&lt;1,"ok","err")</f>
        <v>ok</v>
      </c>
    </row>
    <row r="313" spans="1:38" x14ac:dyDescent="0.25">
      <c r="A313" s="94">
        <v>921</v>
      </c>
      <c r="B313" s="94" t="s">
        <v>1505</v>
      </c>
      <c r="C313" s="94" t="s">
        <v>1506</v>
      </c>
      <c r="D313" s="94" t="s">
        <v>892</v>
      </c>
      <c r="F313" s="98">
        <f>'Jurisdictional Study'!F1077</f>
        <v>6626712.2099315319</v>
      </c>
      <c r="H313" s="98">
        <f t="shared" si="288"/>
        <v>660914.00417786371</v>
      </c>
      <c r="I313" s="98">
        <f t="shared" si="289"/>
        <v>623028.92550481088</v>
      </c>
      <c r="J313" s="98">
        <f t="shared" si="290"/>
        <v>639855.00751062448</v>
      </c>
      <c r="K313" s="98">
        <f t="shared" si="291"/>
        <v>1635507.724510628</v>
      </c>
      <c r="L313" s="98">
        <f t="shared" si="292"/>
        <v>0</v>
      </c>
      <c r="M313" s="98">
        <f t="shared" si="293"/>
        <v>0</v>
      </c>
      <c r="N313" s="98"/>
      <c r="O313" s="98">
        <f t="shared" si="294"/>
        <v>137547.99852968709</v>
      </c>
      <c r="P313" s="98">
        <f t="shared" si="295"/>
        <v>129663.43758427285</v>
      </c>
      <c r="Q313" s="98">
        <f t="shared" si="296"/>
        <v>133165.24551747745</v>
      </c>
      <c r="R313" s="98"/>
      <c r="S313" s="98">
        <f t="shared" si="297"/>
        <v>0</v>
      </c>
      <c r="T313" s="98">
        <f t="shared" si="298"/>
        <v>171356.29187831166</v>
      </c>
      <c r="U313" s="98">
        <f t="shared" si="299"/>
        <v>0</v>
      </c>
      <c r="V313" s="98">
        <f t="shared" si="300"/>
        <v>277534.7895300003</v>
      </c>
      <c r="W313" s="98">
        <f t="shared" si="301"/>
        <v>397235.72782237583</v>
      </c>
      <c r="X313" s="98">
        <f t="shared" si="302"/>
        <v>48976.727564117704</v>
      </c>
      <c r="Y313" s="98">
        <f t="shared" si="303"/>
        <v>70100.422556889855</v>
      </c>
      <c r="Z313" s="98">
        <f t="shared" si="304"/>
        <v>172385.27627302939</v>
      </c>
      <c r="AA313" s="98">
        <f t="shared" si="305"/>
        <v>147498.33158191471</v>
      </c>
      <c r="AB313" s="98">
        <f t="shared" si="306"/>
        <v>98877.685698355664</v>
      </c>
      <c r="AC313" s="98">
        <f t="shared" si="307"/>
        <v>78357.600674575762</v>
      </c>
      <c r="AD313" s="98">
        <f t="shared" si="308"/>
        <v>115085.7843912723</v>
      </c>
      <c r="AE313" s="98"/>
      <c r="AF313" s="98">
        <f t="shared" si="309"/>
        <v>964486.44502614555</v>
      </c>
      <c r="AG313" s="98"/>
      <c r="AH313" s="98">
        <f t="shared" si="310"/>
        <v>125134.7835991793</v>
      </c>
      <c r="AI313" s="98"/>
      <c r="AJ313" s="98">
        <f t="shared" si="311"/>
        <v>0</v>
      </c>
      <c r="AK313" s="98">
        <f t="shared" si="312"/>
        <v>6626712.2099315338</v>
      </c>
      <c r="AL313" s="95" t="str">
        <f t="shared" si="313"/>
        <v>ok</v>
      </c>
    </row>
    <row r="314" spans="1:38" x14ac:dyDescent="0.25">
      <c r="A314" s="94">
        <v>922</v>
      </c>
      <c r="B314" s="94" t="s">
        <v>1988</v>
      </c>
      <c r="C314" s="94" t="s">
        <v>1989</v>
      </c>
      <c r="D314" s="94" t="s">
        <v>892</v>
      </c>
      <c r="F314" s="98">
        <f>'Jurisdictional Study'!F1078</f>
        <v>-2579861.5918123894</v>
      </c>
      <c r="H314" s="98">
        <f t="shared" si="288"/>
        <v>-257302.05279082438</v>
      </c>
      <c r="I314" s="98">
        <f t="shared" si="289"/>
        <v>-242552.9198459957</v>
      </c>
      <c r="J314" s="98">
        <f t="shared" si="290"/>
        <v>-249103.52312139171</v>
      </c>
      <c r="K314" s="98">
        <f t="shared" si="291"/>
        <v>-636723.52562011185</v>
      </c>
      <c r="L314" s="98">
        <f t="shared" si="292"/>
        <v>0</v>
      </c>
      <c r="M314" s="98">
        <f t="shared" si="293"/>
        <v>0</v>
      </c>
      <c r="N314" s="98"/>
      <c r="O314" s="98">
        <f t="shared" si="294"/>
        <v>-53549.148838179761</v>
      </c>
      <c r="P314" s="98">
        <f t="shared" si="295"/>
        <v>-50479.591068507383</v>
      </c>
      <c r="Q314" s="98">
        <f t="shared" si="296"/>
        <v>-51842.88850810931</v>
      </c>
      <c r="R314" s="98"/>
      <c r="S314" s="98">
        <f t="shared" si="297"/>
        <v>0</v>
      </c>
      <c r="T314" s="98">
        <f t="shared" si="298"/>
        <v>-66711.138484285722</v>
      </c>
      <c r="U314" s="98">
        <f t="shared" si="299"/>
        <v>0</v>
      </c>
      <c r="V314" s="98">
        <f t="shared" si="300"/>
        <v>-108047.74995767936</v>
      </c>
      <c r="W314" s="98">
        <f t="shared" si="301"/>
        <v>-154648.81597976867</v>
      </c>
      <c r="X314" s="98">
        <f t="shared" si="302"/>
        <v>-19067.249992531655</v>
      </c>
      <c r="Y314" s="98">
        <f t="shared" si="303"/>
        <v>-27290.96752584153</v>
      </c>
      <c r="Z314" s="98">
        <f t="shared" si="304"/>
        <v>-67111.734924029719</v>
      </c>
      <c r="AA314" s="98">
        <f t="shared" si="305"/>
        <v>-57422.937415977169</v>
      </c>
      <c r="AB314" s="98">
        <f t="shared" si="306"/>
        <v>-38494.314456296663</v>
      </c>
      <c r="AC314" s="98">
        <f t="shared" si="307"/>
        <v>-30505.589801220482</v>
      </c>
      <c r="AD314" s="98">
        <f t="shared" si="308"/>
        <v>-44804.329131672501</v>
      </c>
      <c r="AE314" s="98"/>
      <c r="AF314" s="98">
        <f t="shared" si="309"/>
        <v>-375486.58467731066</v>
      </c>
      <c r="AG314" s="98"/>
      <c r="AH314" s="98">
        <f t="shared" si="310"/>
        <v>-48716.529672655444</v>
      </c>
      <c r="AI314" s="98"/>
      <c r="AJ314" s="98">
        <f t="shared" si="311"/>
        <v>0</v>
      </c>
      <c r="AK314" s="98">
        <f>SUM(H314:AJ314)</f>
        <v>-2579861.5918123894</v>
      </c>
      <c r="AL314" s="95" t="str">
        <f t="shared" si="313"/>
        <v>ok</v>
      </c>
    </row>
    <row r="315" spans="1:38" x14ac:dyDescent="0.25">
      <c r="A315" s="94">
        <v>923</v>
      </c>
      <c r="B315" s="94" t="s">
        <v>1507</v>
      </c>
      <c r="C315" s="94" t="s">
        <v>1508</v>
      </c>
      <c r="D315" s="94" t="s">
        <v>892</v>
      </c>
      <c r="F315" s="98">
        <f>'Jurisdictional Study'!F1079</f>
        <v>7878028.6496848529</v>
      </c>
      <c r="H315" s="98">
        <f t="shared" si="288"/>
        <v>785713.83439404576</v>
      </c>
      <c r="I315" s="98">
        <f t="shared" si="289"/>
        <v>740674.94848399074</v>
      </c>
      <c r="J315" s="98">
        <f t="shared" si="290"/>
        <v>760678.28526766505</v>
      </c>
      <c r="K315" s="98">
        <f t="shared" si="291"/>
        <v>1944339.2593940236</v>
      </c>
      <c r="L315" s="98">
        <f t="shared" si="292"/>
        <v>0</v>
      </c>
      <c r="M315" s="98">
        <f t="shared" si="293"/>
        <v>0</v>
      </c>
      <c r="N315" s="98"/>
      <c r="O315" s="98">
        <f t="shared" si="294"/>
        <v>163521.07029782736</v>
      </c>
      <c r="P315" s="98">
        <f t="shared" si="295"/>
        <v>154147.67440399821</v>
      </c>
      <c r="Q315" s="98">
        <f t="shared" si="296"/>
        <v>158310.72575578833</v>
      </c>
      <c r="R315" s="98"/>
      <c r="S315" s="98">
        <f t="shared" si="297"/>
        <v>0</v>
      </c>
      <c r="T315" s="98">
        <f t="shared" si="298"/>
        <v>203713.35497230641</v>
      </c>
      <c r="U315" s="98">
        <f t="shared" si="299"/>
        <v>0</v>
      </c>
      <c r="V315" s="98">
        <f t="shared" si="300"/>
        <v>329941.4481776912</v>
      </c>
      <c r="W315" s="98">
        <f t="shared" si="301"/>
        <v>472245.41300782171</v>
      </c>
      <c r="X315" s="98">
        <f t="shared" si="302"/>
        <v>58224.961443121982</v>
      </c>
      <c r="Y315" s="98">
        <f t="shared" si="303"/>
        <v>83337.425824909718</v>
      </c>
      <c r="Z315" s="98">
        <f t="shared" si="304"/>
        <v>204936.64161655144</v>
      </c>
      <c r="AA315" s="98">
        <f t="shared" si="305"/>
        <v>175350.31629131909</v>
      </c>
      <c r="AB315" s="98">
        <f t="shared" si="306"/>
        <v>117548.67513014097</v>
      </c>
      <c r="AC315" s="98">
        <f t="shared" si="307"/>
        <v>93153.799875255354</v>
      </c>
      <c r="AD315" s="98">
        <f t="shared" si="308"/>
        <v>136817.33533668343</v>
      </c>
      <c r="AE315" s="98"/>
      <c r="AF315" s="98">
        <f t="shared" si="309"/>
        <v>1146609.6014794607</v>
      </c>
      <c r="AG315" s="98"/>
      <c r="AH315" s="98">
        <f t="shared" si="310"/>
        <v>148763.87853225248</v>
      </c>
      <c r="AI315" s="98"/>
      <c r="AJ315" s="98">
        <f t="shared" si="311"/>
        <v>0</v>
      </c>
      <c r="AK315" s="98">
        <f t="shared" si="312"/>
        <v>7878028.6496848529</v>
      </c>
      <c r="AL315" s="95" t="str">
        <f t="shared" si="313"/>
        <v>ok</v>
      </c>
    </row>
    <row r="316" spans="1:38" x14ac:dyDescent="0.25">
      <c r="A316" s="94">
        <v>924</v>
      </c>
      <c r="B316" s="94" t="s">
        <v>1509</v>
      </c>
      <c r="C316" s="94" t="s">
        <v>1510</v>
      </c>
      <c r="D316" s="94" t="s">
        <v>213</v>
      </c>
      <c r="F316" s="98">
        <f>'Jurisdictional Study'!F1072</f>
        <v>3722835.5001884843</v>
      </c>
      <c r="H316" s="98">
        <f t="shared" si="288"/>
        <v>847480.09282171249</v>
      </c>
      <c r="I316" s="98">
        <f t="shared" si="289"/>
        <v>798900.62592066568</v>
      </c>
      <c r="J316" s="98">
        <f t="shared" si="290"/>
        <v>820476.45795020647</v>
      </c>
      <c r="K316" s="98">
        <f t="shared" si="291"/>
        <v>0</v>
      </c>
      <c r="L316" s="98">
        <f t="shared" si="292"/>
        <v>0</v>
      </c>
      <c r="M316" s="98">
        <f t="shared" si="293"/>
        <v>0</v>
      </c>
      <c r="N316" s="98"/>
      <c r="O316" s="98">
        <f t="shared" si="294"/>
        <v>126923.58695686435</v>
      </c>
      <c r="P316" s="98">
        <f t="shared" si="295"/>
        <v>119648.04120215097</v>
      </c>
      <c r="Q316" s="98">
        <f t="shared" si="296"/>
        <v>122879.36429276215</v>
      </c>
      <c r="R316" s="98"/>
      <c r="S316" s="98">
        <f t="shared" si="297"/>
        <v>0</v>
      </c>
      <c r="T316" s="98">
        <f t="shared" si="298"/>
        <v>96304.808050192165</v>
      </c>
      <c r="U316" s="98">
        <f t="shared" si="299"/>
        <v>0</v>
      </c>
      <c r="V316" s="98">
        <f t="shared" si="300"/>
        <v>155978.71744282349</v>
      </c>
      <c r="W316" s="98">
        <f t="shared" si="301"/>
        <v>223252.44144393312</v>
      </c>
      <c r="X316" s="98">
        <f t="shared" si="302"/>
        <v>27525.656019321785</v>
      </c>
      <c r="Y316" s="98">
        <f t="shared" si="303"/>
        <v>39397.489666576432</v>
      </c>
      <c r="Z316" s="98">
        <f t="shared" si="304"/>
        <v>96883.112724818886</v>
      </c>
      <c r="AA316" s="98">
        <f t="shared" si="305"/>
        <v>82896.276261670049</v>
      </c>
      <c r="AB316" s="98">
        <f t="shared" si="306"/>
        <v>55570.743491518151</v>
      </c>
      <c r="AC316" s="98">
        <f t="shared" si="307"/>
        <v>44038.147706870048</v>
      </c>
      <c r="AD316" s="98">
        <f t="shared" si="308"/>
        <v>64679.938236397378</v>
      </c>
      <c r="AE316" s="98"/>
      <c r="AF316" s="98">
        <f t="shared" si="309"/>
        <v>0</v>
      </c>
      <c r="AG316" s="98"/>
      <c r="AH316" s="98">
        <f t="shared" si="310"/>
        <v>0</v>
      </c>
      <c r="AI316" s="98"/>
      <c r="AJ316" s="98">
        <f t="shared" si="311"/>
        <v>0</v>
      </c>
      <c r="AK316" s="98">
        <f t="shared" si="312"/>
        <v>3722835.5001884829</v>
      </c>
      <c r="AL316" s="95" t="str">
        <f t="shared" si="313"/>
        <v>ok</v>
      </c>
    </row>
    <row r="317" spans="1:38" x14ac:dyDescent="0.25">
      <c r="A317" s="94">
        <v>925</v>
      </c>
      <c r="B317" s="94" t="s">
        <v>1485</v>
      </c>
      <c r="C317" s="94" t="s">
        <v>1486</v>
      </c>
      <c r="D317" s="94" t="s">
        <v>892</v>
      </c>
      <c r="F317" s="98">
        <f>'Jurisdictional Study'!F1080</f>
        <v>3166637.045453378</v>
      </c>
      <c r="H317" s="98">
        <f t="shared" si="288"/>
        <v>315824.00188617449</v>
      </c>
      <c r="I317" s="98">
        <f t="shared" si="289"/>
        <v>297720.25906538218</v>
      </c>
      <c r="J317" s="98">
        <f t="shared" si="290"/>
        <v>305760.76134184917</v>
      </c>
      <c r="K317" s="98">
        <f t="shared" si="291"/>
        <v>781542.82010294555</v>
      </c>
      <c r="L317" s="98">
        <f t="shared" si="292"/>
        <v>0</v>
      </c>
      <c r="M317" s="98">
        <f t="shared" si="293"/>
        <v>0</v>
      </c>
      <c r="N317" s="98"/>
      <c r="O317" s="98">
        <f t="shared" si="294"/>
        <v>65728.610791228886</v>
      </c>
      <c r="P317" s="98">
        <f t="shared" si="295"/>
        <v>61960.898842086972</v>
      </c>
      <c r="Q317" s="98">
        <f t="shared" si="296"/>
        <v>63634.270851622729</v>
      </c>
      <c r="R317" s="98"/>
      <c r="S317" s="98">
        <f t="shared" si="297"/>
        <v>0</v>
      </c>
      <c r="T317" s="98">
        <f t="shared" si="298"/>
        <v>81884.223223116249</v>
      </c>
      <c r="U317" s="98">
        <f t="shared" si="299"/>
        <v>0</v>
      </c>
      <c r="V317" s="98">
        <f t="shared" si="300"/>
        <v>132622.6216087458</v>
      </c>
      <c r="W317" s="98">
        <f t="shared" si="301"/>
        <v>189822.84602834249</v>
      </c>
      <c r="X317" s="98">
        <f t="shared" si="302"/>
        <v>23403.992048602202</v>
      </c>
      <c r="Y317" s="98">
        <f t="shared" si="303"/>
        <v>33498.149299119264</v>
      </c>
      <c r="Z317" s="98">
        <f t="shared" si="304"/>
        <v>82375.933139026441</v>
      </c>
      <c r="AA317" s="98">
        <f t="shared" si="305"/>
        <v>70483.471461133959</v>
      </c>
      <c r="AB317" s="98">
        <f t="shared" si="306"/>
        <v>47249.636408209706</v>
      </c>
      <c r="AC317" s="98">
        <f t="shared" si="307"/>
        <v>37443.919884898387</v>
      </c>
      <c r="AD317" s="98">
        <f t="shared" si="308"/>
        <v>54994.829519272032</v>
      </c>
      <c r="AE317" s="98"/>
      <c r="AF317" s="98">
        <f t="shared" si="309"/>
        <v>460888.96120765468</v>
      </c>
      <c r="AG317" s="98"/>
      <c r="AH317" s="98">
        <f t="shared" si="310"/>
        <v>59796.83874396699</v>
      </c>
      <c r="AI317" s="98"/>
      <c r="AJ317" s="98">
        <f t="shared" si="311"/>
        <v>0</v>
      </c>
      <c r="AK317" s="98">
        <f t="shared" si="312"/>
        <v>3166637.0454533785</v>
      </c>
      <c r="AL317" s="95" t="str">
        <f t="shared" si="313"/>
        <v>ok</v>
      </c>
    </row>
    <row r="318" spans="1:38" x14ac:dyDescent="0.25">
      <c r="A318" s="94">
        <v>926</v>
      </c>
      <c r="B318" s="94" t="s">
        <v>1487</v>
      </c>
      <c r="C318" s="94" t="s">
        <v>310</v>
      </c>
      <c r="D318" s="94" t="s">
        <v>892</v>
      </c>
      <c r="F318" s="98">
        <f>'Jurisdictional Study'!F1081</f>
        <v>35853084.162146352</v>
      </c>
      <c r="H318" s="98">
        <f t="shared" si="288"/>
        <v>3575801.1914591533</v>
      </c>
      <c r="I318" s="98">
        <f t="shared" si="289"/>
        <v>3370828.2167585464</v>
      </c>
      <c r="J318" s="98">
        <f t="shared" si="290"/>
        <v>3461863.8487827484</v>
      </c>
      <c r="K318" s="98">
        <f t="shared" si="291"/>
        <v>8848731.3523044735</v>
      </c>
      <c r="L318" s="98">
        <f t="shared" si="292"/>
        <v>0</v>
      </c>
      <c r="M318" s="98">
        <f t="shared" si="293"/>
        <v>0</v>
      </c>
      <c r="N318" s="98"/>
      <c r="O318" s="98">
        <f t="shared" si="294"/>
        <v>744188.03946680028</v>
      </c>
      <c r="P318" s="98">
        <f t="shared" si="295"/>
        <v>701529.5056113773</v>
      </c>
      <c r="Q318" s="98">
        <f t="shared" si="296"/>
        <v>720475.64520088478</v>
      </c>
      <c r="R318" s="98"/>
      <c r="S318" s="98">
        <f t="shared" si="297"/>
        <v>0</v>
      </c>
      <c r="T318" s="98">
        <f t="shared" si="298"/>
        <v>927104.02380517754</v>
      </c>
      <c r="U318" s="98">
        <f t="shared" si="299"/>
        <v>0</v>
      </c>
      <c r="V318" s="98">
        <f t="shared" si="300"/>
        <v>1501570.8924298501</v>
      </c>
      <c r="W318" s="98">
        <f t="shared" si="301"/>
        <v>2149199.4115094147</v>
      </c>
      <c r="X318" s="98">
        <f t="shared" si="302"/>
        <v>264983.0986640912</v>
      </c>
      <c r="Y318" s="98">
        <f t="shared" si="303"/>
        <v>379270.48438401439</v>
      </c>
      <c r="Z318" s="98">
        <f t="shared" si="304"/>
        <v>932671.22861755174</v>
      </c>
      <c r="AA318" s="98">
        <f t="shared" si="305"/>
        <v>798023.20192160516</v>
      </c>
      <c r="AB318" s="98">
        <f t="shared" si="306"/>
        <v>534966.64330591599</v>
      </c>
      <c r="AC318" s="98">
        <f t="shared" si="307"/>
        <v>423945.02171363309</v>
      </c>
      <c r="AD318" s="98">
        <f t="shared" si="308"/>
        <v>622658.74583522126</v>
      </c>
      <c r="AE318" s="98"/>
      <c r="AF318" s="98">
        <f t="shared" si="309"/>
        <v>5218245.8799020369</v>
      </c>
      <c r="AG318" s="98"/>
      <c r="AH318" s="98">
        <f t="shared" si="310"/>
        <v>677027.73047385761</v>
      </c>
      <c r="AI318" s="98"/>
      <c r="AJ318" s="98">
        <f t="shared" si="311"/>
        <v>0</v>
      </c>
      <c r="AK318" s="98">
        <f t="shared" si="312"/>
        <v>35853084.16214636</v>
      </c>
      <c r="AL318" s="95" t="str">
        <f t="shared" si="313"/>
        <v>ok</v>
      </c>
    </row>
    <row r="319" spans="1:38" x14ac:dyDescent="0.25">
      <c r="A319" s="94">
        <v>928</v>
      </c>
      <c r="B319" s="94" t="s">
        <v>684</v>
      </c>
      <c r="C319" s="94" t="s">
        <v>313</v>
      </c>
      <c r="D319" s="94" t="s">
        <v>213</v>
      </c>
      <c r="F319" s="98">
        <f>'Jurisdictional Study'!F1097</f>
        <v>1496158.2047997392</v>
      </c>
      <c r="H319" s="98">
        <f t="shared" si="288"/>
        <v>340591.00763798284</v>
      </c>
      <c r="I319" s="98">
        <f t="shared" si="289"/>
        <v>321067.56428811722</v>
      </c>
      <c r="J319" s="98">
        <f t="shared" si="290"/>
        <v>329738.60498135869</v>
      </c>
      <c r="K319" s="98">
        <f t="shared" si="291"/>
        <v>0</v>
      </c>
      <c r="L319" s="98">
        <f t="shared" si="292"/>
        <v>0</v>
      </c>
      <c r="M319" s="98">
        <f t="shared" si="293"/>
        <v>0</v>
      </c>
      <c r="N319" s="98"/>
      <c r="O319" s="98">
        <f t="shared" si="294"/>
        <v>51008.905980001371</v>
      </c>
      <c r="P319" s="98">
        <f t="shared" si="295"/>
        <v>48084.96064995409</v>
      </c>
      <c r="Q319" s="98">
        <f t="shared" si="296"/>
        <v>49383.586537166135</v>
      </c>
      <c r="R319" s="98"/>
      <c r="S319" s="98">
        <f t="shared" si="297"/>
        <v>0</v>
      </c>
      <c r="T319" s="98">
        <f t="shared" si="298"/>
        <v>38703.624889862564</v>
      </c>
      <c r="U319" s="98">
        <f t="shared" si="299"/>
        <v>0</v>
      </c>
      <c r="V319" s="98">
        <f t="shared" si="300"/>
        <v>62685.777511363383</v>
      </c>
      <c r="W319" s="98">
        <f t="shared" si="301"/>
        <v>89722.19481387308</v>
      </c>
      <c r="X319" s="98">
        <f t="shared" si="302"/>
        <v>11062.196031417065</v>
      </c>
      <c r="Y319" s="98">
        <f t="shared" si="303"/>
        <v>15833.328496565839</v>
      </c>
      <c r="Z319" s="98">
        <f t="shared" si="304"/>
        <v>38936.037867490239</v>
      </c>
      <c r="AA319" s="98">
        <f t="shared" si="305"/>
        <v>33314.913825755706</v>
      </c>
      <c r="AB319" s="98">
        <f t="shared" si="306"/>
        <v>22333.144673582043</v>
      </c>
      <c r="AC319" s="98">
        <f t="shared" si="307"/>
        <v>17698.347405487184</v>
      </c>
      <c r="AD319" s="98">
        <f t="shared" si="308"/>
        <v>25994.009209761443</v>
      </c>
      <c r="AE319" s="98"/>
      <c r="AF319" s="98">
        <f t="shared" si="309"/>
        <v>0</v>
      </c>
      <c r="AG319" s="98"/>
      <c r="AH319" s="98">
        <f t="shared" si="310"/>
        <v>0</v>
      </c>
      <c r="AI319" s="98"/>
      <c r="AJ319" s="98">
        <f t="shared" si="311"/>
        <v>0</v>
      </c>
      <c r="AK319" s="98">
        <f t="shared" si="312"/>
        <v>1496158.2047997385</v>
      </c>
      <c r="AL319" s="95" t="str">
        <f t="shared" si="313"/>
        <v>ok</v>
      </c>
    </row>
    <row r="320" spans="1:38" x14ac:dyDescent="0.25">
      <c r="A320" s="94">
        <v>929</v>
      </c>
      <c r="B320" s="94" t="s">
        <v>394</v>
      </c>
      <c r="C320" s="94" t="s">
        <v>582</v>
      </c>
      <c r="D320" s="94" t="s">
        <v>892</v>
      </c>
      <c r="F320" s="98">
        <f>'Jurisdictional Study'!F1086</f>
        <v>0</v>
      </c>
      <c r="H320" s="98">
        <f t="shared" si="288"/>
        <v>0</v>
      </c>
      <c r="I320" s="98">
        <f t="shared" si="289"/>
        <v>0</v>
      </c>
      <c r="J320" s="98">
        <f t="shared" si="290"/>
        <v>0</v>
      </c>
      <c r="K320" s="98">
        <f t="shared" si="291"/>
        <v>0</v>
      </c>
      <c r="L320" s="98">
        <f t="shared" si="292"/>
        <v>0</v>
      </c>
      <c r="M320" s="98">
        <f t="shared" si="293"/>
        <v>0</v>
      </c>
      <c r="N320" s="98"/>
      <c r="O320" s="98">
        <f t="shared" si="294"/>
        <v>0</v>
      </c>
      <c r="P320" s="98">
        <f t="shared" si="295"/>
        <v>0</v>
      </c>
      <c r="Q320" s="98">
        <f t="shared" si="296"/>
        <v>0</v>
      </c>
      <c r="R320" s="98"/>
      <c r="S320" s="98">
        <f t="shared" si="297"/>
        <v>0</v>
      </c>
      <c r="T320" s="98">
        <f t="shared" si="298"/>
        <v>0</v>
      </c>
      <c r="U320" s="98">
        <f t="shared" si="299"/>
        <v>0</v>
      </c>
      <c r="V320" s="98">
        <f t="shared" si="300"/>
        <v>0</v>
      </c>
      <c r="W320" s="98">
        <f t="shared" si="301"/>
        <v>0</v>
      </c>
      <c r="X320" s="98">
        <f t="shared" si="302"/>
        <v>0</v>
      </c>
      <c r="Y320" s="98">
        <f t="shared" si="303"/>
        <v>0</v>
      </c>
      <c r="Z320" s="98">
        <f t="shared" si="304"/>
        <v>0</v>
      </c>
      <c r="AA320" s="98">
        <f t="shared" si="305"/>
        <v>0</v>
      </c>
      <c r="AB320" s="98">
        <f t="shared" si="306"/>
        <v>0</v>
      </c>
      <c r="AC320" s="98">
        <f t="shared" si="307"/>
        <v>0</v>
      </c>
      <c r="AD320" s="98">
        <f t="shared" si="308"/>
        <v>0</v>
      </c>
      <c r="AE320" s="98"/>
      <c r="AF320" s="98">
        <f t="shared" si="309"/>
        <v>0</v>
      </c>
      <c r="AG320" s="98"/>
      <c r="AH320" s="98">
        <f t="shared" si="310"/>
        <v>0</v>
      </c>
      <c r="AI320" s="98"/>
      <c r="AJ320" s="98">
        <f t="shared" si="311"/>
        <v>0</v>
      </c>
      <c r="AK320" s="98">
        <f t="shared" si="312"/>
        <v>0</v>
      </c>
      <c r="AL320" s="95" t="str">
        <f t="shared" si="313"/>
        <v>ok</v>
      </c>
    </row>
    <row r="321" spans="1:38" x14ac:dyDescent="0.25">
      <c r="A321" s="94">
        <v>930</v>
      </c>
      <c r="B321" s="94" t="s">
        <v>314</v>
      </c>
      <c r="C321" s="94" t="s">
        <v>315</v>
      </c>
      <c r="D321" s="94" t="s">
        <v>892</v>
      </c>
      <c r="F321" s="98">
        <f>'Jurisdictional Study'!F1087+'Jurisdictional Study'!F1101</f>
        <v>3577675.2834098004</v>
      </c>
      <c r="H321" s="98">
        <f t="shared" si="288"/>
        <v>356818.8299565487</v>
      </c>
      <c r="I321" s="98">
        <f t="shared" si="289"/>
        <v>336365.17129675648</v>
      </c>
      <c r="J321" s="98">
        <f t="shared" si="290"/>
        <v>345449.35298471421</v>
      </c>
      <c r="K321" s="98">
        <f t="shared" si="291"/>
        <v>882989.23756460147</v>
      </c>
      <c r="L321" s="98">
        <f t="shared" si="292"/>
        <v>0</v>
      </c>
      <c r="M321" s="98">
        <f t="shared" si="293"/>
        <v>0</v>
      </c>
      <c r="N321" s="98"/>
      <c r="O321" s="98">
        <f t="shared" si="294"/>
        <v>74260.366080879423</v>
      </c>
      <c r="P321" s="98">
        <f t="shared" si="295"/>
        <v>70003.594710505073</v>
      </c>
      <c r="Q321" s="98">
        <f t="shared" si="296"/>
        <v>71894.175030425729</v>
      </c>
      <c r="R321" s="98"/>
      <c r="S321" s="98">
        <f t="shared" si="297"/>
        <v>0</v>
      </c>
      <c r="T321" s="98">
        <f t="shared" si="298"/>
        <v>92513.021644578912</v>
      </c>
      <c r="U321" s="98">
        <f t="shared" si="299"/>
        <v>0</v>
      </c>
      <c r="V321" s="98">
        <f t="shared" si="300"/>
        <v>149837.40433147346</v>
      </c>
      <c r="W321" s="98">
        <f t="shared" si="301"/>
        <v>214462.37592564785</v>
      </c>
      <c r="X321" s="98">
        <f t="shared" si="302"/>
        <v>26441.894882024731</v>
      </c>
      <c r="Y321" s="98">
        <f t="shared" si="303"/>
        <v>37846.301633937859</v>
      </c>
      <c r="Z321" s="98">
        <f t="shared" si="304"/>
        <v>93068.556866174724</v>
      </c>
      <c r="AA321" s="98">
        <f t="shared" si="305"/>
        <v>79632.420803475892</v>
      </c>
      <c r="AB321" s="98">
        <f t="shared" si="306"/>
        <v>53382.769765313948</v>
      </c>
      <c r="AC321" s="98">
        <f t="shared" si="307"/>
        <v>42304.244143963107</v>
      </c>
      <c r="AD321" s="98">
        <f t="shared" si="308"/>
        <v>62133.310342254692</v>
      </c>
      <c r="AE321" s="98"/>
      <c r="AF321" s="98">
        <f t="shared" si="309"/>
        <v>520713.62181419955</v>
      </c>
      <c r="AG321" s="98"/>
      <c r="AH321" s="98">
        <f t="shared" si="310"/>
        <v>67558.633632324811</v>
      </c>
      <c r="AI321" s="98"/>
      <c r="AJ321" s="98">
        <f t="shared" si="311"/>
        <v>0</v>
      </c>
      <c r="AK321" s="98">
        <f t="shared" si="312"/>
        <v>3577675.2834098004</v>
      </c>
      <c r="AL321" s="95" t="str">
        <f t="shared" si="313"/>
        <v>ok</v>
      </c>
    </row>
    <row r="322" spans="1:38" x14ac:dyDescent="0.25">
      <c r="A322" s="94">
        <v>931</v>
      </c>
      <c r="B322" s="94" t="s">
        <v>316</v>
      </c>
      <c r="C322" s="94" t="s">
        <v>317</v>
      </c>
      <c r="D322" s="94" t="s">
        <v>203</v>
      </c>
      <c r="F322" s="98">
        <f>'Jurisdictional Study'!F1088</f>
        <v>2113482.2481230311</v>
      </c>
      <c r="H322" s="98">
        <f t="shared" si="288"/>
        <v>476184.77374961472</v>
      </c>
      <c r="I322" s="98">
        <f t="shared" si="289"/>
        <v>448888.79045621329</v>
      </c>
      <c r="J322" s="98">
        <f t="shared" si="290"/>
        <v>461011.88665690232</v>
      </c>
      <c r="K322" s="98">
        <f t="shared" si="291"/>
        <v>0</v>
      </c>
      <c r="L322" s="98">
        <f t="shared" si="292"/>
        <v>0</v>
      </c>
      <c r="M322" s="98">
        <f t="shared" si="293"/>
        <v>0</v>
      </c>
      <c r="N322" s="98"/>
      <c r="O322" s="98">
        <f t="shared" si="294"/>
        <v>71089.375308654737</v>
      </c>
      <c r="P322" s="98">
        <f t="shared" si="295"/>
        <v>67014.372268377556</v>
      </c>
      <c r="Q322" s="98">
        <f t="shared" si="296"/>
        <v>68824.222946565918</v>
      </c>
      <c r="R322" s="98"/>
      <c r="S322" s="98">
        <f t="shared" si="297"/>
        <v>0</v>
      </c>
      <c r="T322" s="98">
        <f t="shared" si="298"/>
        <v>56539.317739874932</v>
      </c>
      <c r="U322" s="98">
        <f t="shared" si="299"/>
        <v>0</v>
      </c>
      <c r="V322" s="98">
        <f t="shared" si="300"/>
        <v>91573.104652902854</v>
      </c>
      <c r="W322" s="98">
        <f t="shared" si="301"/>
        <v>131068.64525832121</v>
      </c>
      <c r="X322" s="98">
        <f t="shared" si="302"/>
        <v>16159.959644629913</v>
      </c>
      <c r="Y322" s="98">
        <f t="shared" si="303"/>
        <v>23129.760927939038</v>
      </c>
      <c r="Z322" s="98">
        <f t="shared" si="304"/>
        <v>56878.832997847654</v>
      </c>
      <c r="AA322" s="98">
        <f t="shared" si="305"/>
        <v>48667.340685298856</v>
      </c>
      <c r="AB322" s="98">
        <f t="shared" si="306"/>
        <v>32624.870833764791</v>
      </c>
      <c r="AC322" s="98">
        <f t="shared" si="307"/>
        <v>25854.231749017043</v>
      </c>
      <c r="AD322" s="98">
        <f t="shared" si="308"/>
        <v>37972.7622471063</v>
      </c>
      <c r="AE322" s="98"/>
      <c r="AF322" s="98">
        <f t="shared" si="309"/>
        <v>0</v>
      </c>
      <c r="AG322" s="98"/>
      <c r="AH322" s="98">
        <f t="shared" si="310"/>
        <v>0</v>
      </c>
      <c r="AI322" s="98"/>
      <c r="AJ322" s="98">
        <f t="shared" si="311"/>
        <v>0</v>
      </c>
      <c r="AK322" s="98">
        <f t="shared" si="312"/>
        <v>2113482.2481230311</v>
      </c>
      <c r="AL322" s="95" t="str">
        <f t="shared" si="313"/>
        <v>ok</v>
      </c>
    </row>
    <row r="323" spans="1:38" x14ac:dyDescent="0.25">
      <c r="A323" s="94">
        <v>932</v>
      </c>
      <c r="B323" s="94" t="s">
        <v>318</v>
      </c>
      <c r="C323" s="94" t="s">
        <v>319</v>
      </c>
      <c r="D323" s="94" t="s">
        <v>203</v>
      </c>
      <c r="F323" s="98">
        <v>0</v>
      </c>
      <c r="H323" s="98">
        <f t="shared" si="288"/>
        <v>0</v>
      </c>
      <c r="I323" s="98">
        <f t="shared" si="289"/>
        <v>0</v>
      </c>
      <c r="J323" s="98">
        <f t="shared" si="290"/>
        <v>0</v>
      </c>
      <c r="K323" s="98">
        <f t="shared" si="291"/>
        <v>0</v>
      </c>
      <c r="L323" s="98">
        <f t="shared" si="292"/>
        <v>0</v>
      </c>
      <c r="M323" s="98">
        <f t="shared" si="293"/>
        <v>0</v>
      </c>
      <c r="N323" s="98"/>
      <c r="O323" s="98">
        <f t="shared" si="294"/>
        <v>0</v>
      </c>
      <c r="P323" s="98">
        <f t="shared" si="295"/>
        <v>0</v>
      </c>
      <c r="Q323" s="98">
        <f t="shared" si="296"/>
        <v>0</v>
      </c>
      <c r="R323" s="98"/>
      <c r="S323" s="98">
        <f t="shared" si="297"/>
        <v>0</v>
      </c>
      <c r="T323" s="98">
        <f t="shared" si="298"/>
        <v>0</v>
      </c>
      <c r="U323" s="98">
        <f t="shared" si="299"/>
        <v>0</v>
      </c>
      <c r="V323" s="98">
        <f t="shared" si="300"/>
        <v>0</v>
      </c>
      <c r="W323" s="98">
        <f t="shared" si="301"/>
        <v>0</v>
      </c>
      <c r="X323" s="98">
        <f t="shared" si="302"/>
        <v>0</v>
      </c>
      <c r="Y323" s="98">
        <f t="shared" si="303"/>
        <v>0</v>
      </c>
      <c r="Z323" s="98">
        <f t="shared" si="304"/>
        <v>0</v>
      </c>
      <c r="AA323" s="98">
        <f t="shared" si="305"/>
        <v>0</v>
      </c>
      <c r="AB323" s="98">
        <f t="shared" si="306"/>
        <v>0</v>
      </c>
      <c r="AC323" s="98">
        <f t="shared" si="307"/>
        <v>0</v>
      </c>
      <c r="AD323" s="98">
        <f t="shared" si="308"/>
        <v>0</v>
      </c>
      <c r="AE323" s="98"/>
      <c r="AF323" s="98">
        <f t="shared" si="309"/>
        <v>0</v>
      </c>
      <c r="AG323" s="98"/>
      <c r="AH323" s="98">
        <f t="shared" si="310"/>
        <v>0</v>
      </c>
      <c r="AI323" s="98"/>
      <c r="AJ323" s="98">
        <f t="shared" si="311"/>
        <v>0</v>
      </c>
      <c r="AK323" s="98">
        <f t="shared" si="312"/>
        <v>0</v>
      </c>
      <c r="AL323" s="95" t="str">
        <f t="shared" si="313"/>
        <v>ok</v>
      </c>
    </row>
    <row r="324" spans="1:38" x14ac:dyDescent="0.25">
      <c r="A324" s="94">
        <v>935</v>
      </c>
      <c r="B324" s="94" t="s">
        <v>318</v>
      </c>
      <c r="C324" s="94" t="s">
        <v>1990</v>
      </c>
      <c r="D324" s="94" t="s">
        <v>203</v>
      </c>
      <c r="F324" s="98">
        <f>'Jurisdictional Study'!F1089</f>
        <v>11753914.411872817</v>
      </c>
      <c r="H324" s="98">
        <f t="shared" si="288"/>
        <v>2648252.702316606</v>
      </c>
      <c r="I324" s="98">
        <f t="shared" si="289"/>
        <v>2496448.8952567261</v>
      </c>
      <c r="J324" s="98">
        <f t="shared" si="290"/>
        <v>2563870.2494111536</v>
      </c>
      <c r="K324" s="98">
        <f t="shared" si="291"/>
        <v>0</v>
      </c>
      <c r="L324" s="98">
        <f t="shared" si="292"/>
        <v>0</v>
      </c>
      <c r="M324" s="98">
        <f t="shared" si="293"/>
        <v>0</v>
      </c>
      <c r="N324" s="98"/>
      <c r="O324" s="98">
        <f t="shared" si="294"/>
        <v>395356.25800193206</v>
      </c>
      <c r="P324" s="98">
        <f t="shared" si="295"/>
        <v>372693.54720505798</v>
      </c>
      <c r="Q324" s="98">
        <f t="shared" si="296"/>
        <v>382758.84583180927</v>
      </c>
      <c r="R324" s="98"/>
      <c r="S324" s="98">
        <f t="shared" si="297"/>
        <v>0</v>
      </c>
      <c r="T324" s="98">
        <f t="shared" si="298"/>
        <v>314437.60751260718</v>
      </c>
      <c r="U324" s="98">
        <f t="shared" si="299"/>
        <v>0</v>
      </c>
      <c r="V324" s="98">
        <f t="shared" si="300"/>
        <v>509274.41452398512</v>
      </c>
      <c r="W324" s="98">
        <f t="shared" si="301"/>
        <v>728924.80635434564</v>
      </c>
      <c r="X324" s="98">
        <f t="shared" si="302"/>
        <v>89871.955504232654</v>
      </c>
      <c r="Y324" s="98">
        <f t="shared" si="303"/>
        <v>128633.78935664924</v>
      </c>
      <c r="Z324" s="98">
        <f t="shared" si="304"/>
        <v>316325.78674253944</v>
      </c>
      <c r="AA324" s="98">
        <f t="shared" si="305"/>
        <v>270658.4157858321</v>
      </c>
      <c r="AB324" s="98">
        <f t="shared" si="306"/>
        <v>181439.86769656293</v>
      </c>
      <c r="AC324" s="98">
        <f t="shared" si="307"/>
        <v>143785.65395216941</v>
      </c>
      <c r="AD324" s="98">
        <f t="shared" si="308"/>
        <v>211181.61642060828</v>
      </c>
      <c r="AE324" s="98"/>
      <c r="AF324" s="98">
        <f t="shared" si="309"/>
        <v>0</v>
      </c>
      <c r="AG324" s="98"/>
      <c r="AH324" s="98">
        <f t="shared" si="310"/>
        <v>0</v>
      </c>
      <c r="AI324" s="98"/>
      <c r="AJ324" s="98">
        <f t="shared" si="311"/>
        <v>0</v>
      </c>
      <c r="AK324" s="98"/>
      <c r="AL324" s="95"/>
    </row>
    <row r="325" spans="1:38" x14ac:dyDescent="0.25">
      <c r="F325" s="98"/>
      <c r="H325" s="98"/>
      <c r="I325" s="98"/>
      <c r="J325" s="98"/>
      <c r="K325" s="98"/>
      <c r="L325" s="98"/>
      <c r="M325" s="98"/>
      <c r="N325" s="98"/>
      <c r="O325" s="98"/>
      <c r="P325" s="98"/>
      <c r="Q325" s="98"/>
      <c r="R325" s="98"/>
      <c r="S325" s="98"/>
      <c r="T325" s="98"/>
      <c r="U325" s="98"/>
      <c r="V325" s="98"/>
      <c r="W325" s="98"/>
      <c r="X325" s="98"/>
      <c r="Y325" s="98"/>
      <c r="Z325" s="98"/>
      <c r="AA325" s="98"/>
      <c r="AB325" s="98"/>
      <c r="AC325" s="98"/>
      <c r="AD325" s="98"/>
      <c r="AE325" s="98"/>
      <c r="AF325" s="98"/>
      <c r="AG325" s="98"/>
      <c r="AH325" s="98"/>
      <c r="AI325" s="98"/>
      <c r="AJ325" s="98"/>
      <c r="AK325" s="98"/>
      <c r="AL325" s="95"/>
    </row>
    <row r="326" spans="1:38" x14ac:dyDescent="0.25">
      <c r="A326" s="94" t="s">
        <v>320</v>
      </c>
      <c r="C326" s="94" t="s">
        <v>321</v>
      </c>
      <c r="F326" s="97">
        <f t="shared" ref="F326:M326" si="314">SUM(F312:F325)</f>
        <v>93031575.562712044</v>
      </c>
      <c r="G326" s="97">
        <f t="shared" si="314"/>
        <v>0</v>
      </c>
      <c r="H326" s="97">
        <f t="shared" si="314"/>
        <v>11687418.922784794</v>
      </c>
      <c r="I326" s="97">
        <f t="shared" si="314"/>
        <v>11017469.757574689</v>
      </c>
      <c r="J326" s="97">
        <f t="shared" si="314"/>
        <v>11315017.49901754</v>
      </c>
      <c r="K326" s="97">
        <f t="shared" si="314"/>
        <v>18250063.945737969</v>
      </c>
      <c r="L326" s="97">
        <f t="shared" si="314"/>
        <v>0</v>
      </c>
      <c r="M326" s="97">
        <f t="shared" si="314"/>
        <v>0</v>
      </c>
      <c r="N326" s="97"/>
      <c r="O326" s="97">
        <f>SUM(O312:O325)</f>
        <v>2179228.5773672569</v>
      </c>
      <c r="P326" s="97">
        <f>SUM(P312:P325)</f>
        <v>2054310.2890903682</v>
      </c>
      <c r="Q326" s="97">
        <f>SUM(Q312:Q325)</f>
        <v>2109790.8486191477</v>
      </c>
      <c r="R326" s="97"/>
      <c r="S326" s="97">
        <f t="shared" ref="S326:AD326" si="315">SUM(S312:S325)</f>
        <v>0</v>
      </c>
      <c r="T326" s="97">
        <f t="shared" si="315"/>
        <v>2418090.8392103408</v>
      </c>
      <c r="U326" s="97">
        <f t="shared" si="315"/>
        <v>0</v>
      </c>
      <c r="V326" s="97">
        <f t="shared" si="315"/>
        <v>3916426.5564362658</v>
      </c>
      <c r="W326" s="97">
        <f t="shared" si="315"/>
        <v>5605583.9206445562</v>
      </c>
      <c r="X326" s="97">
        <f t="shared" si="315"/>
        <v>691134.09819463512</v>
      </c>
      <c r="Y326" s="97">
        <f t="shared" si="315"/>
        <v>989220.69187845127</v>
      </c>
      <c r="Z326" s="97">
        <f t="shared" si="315"/>
        <v>2432611.3316374547</v>
      </c>
      <c r="AA326" s="97">
        <f t="shared" si="315"/>
        <v>2081419.7161217851</v>
      </c>
      <c r="AB326" s="97">
        <f t="shared" si="315"/>
        <v>1395310.4573440824</v>
      </c>
      <c r="AC326" s="97">
        <f t="shared" si="315"/>
        <v>1105741.6935016869</v>
      </c>
      <c r="AD326" s="97">
        <f t="shared" si="315"/>
        <v>1624030.7134884638</v>
      </c>
      <c r="AE326" s="97"/>
      <c r="AF326" s="97">
        <f>SUM(AF312:AF325)</f>
        <v>10762370.016804077</v>
      </c>
      <c r="AG326" s="97"/>
      <c r="AH326" s="97">
        <f>SUM(AH312:AH325)</f>
        <v>1396335.6872584831</v>
      </c>
      <c r="AI326" s="97"/>
      <c r="AJ326" s="97">
        <f>SUM(AJ312:AJ325)</f>
        <v>0</v>
      </c>
      <c r="AK326" s="98">
        <f>SUM(H326:AJ326)</f>
        <v>93031575.562712014</v>
      </c>
      <c r="AL326" s="95" t="str">
        <f>IF(ABS(AK326-F326)&lt;1,"ok","err")</f>
        <v>ok</v>
      </c>
    </row>
    <row r="327" spans="1:38" x14ac:dyDescent="0.25">
      <c r="F327" s="98"/>
      <c r="H327" s="98"/>
      <c r="I327" s="98"/>
      <c r="J327" s="98"/>
      <c r="K327" s="98"/>
      <c r="L327" s="98"/>
      <c r="M327" s="98"/>
      <c r="N327" s="98"/>
      <c r="O327" s="98"/>
      <c r="P327" s="98"/>
      <c r="Q327" s="98"/>
      <c r="R327" s="98"/>
      <c r="S327" s="98"/>
      <c r="T327" s="98"/>
      <c r="U327" s="98"/>
      <c r="V327" s="98"/>
      <c r="W327" s="98"/>
      <c r="X327" s="98"/>
      <c r="Y327" s="98"/>
      <c r="Z327" s="98"/>
      <c r="AA327" s="98"/>
      <c r="AB327" s="98"/>
      <c r="AC327" s="98"/>
      <c r="AD327" s="98"/>
      <c r="AE327" s="98"/>
      <c r="AF327" s="98"/>
      <c r="AG327" s="98"/>
      <c r="AH327" s="98"/>
      <c r="AI327" s="98"/>
      <c r="AJ327" s="98"/>
      <c r="AK327" s="98"/>
      <c r="AL327" s="95"/>
    </row>
    <row r="328" spans="1:38" x14ac:dyDescent="0.25">
      <c r="A328" s="94" t="s">
        <v>1036</v>
      </c>
      <c r="C328" s="94" t="s">
        <v>1037</v>
      </c>
      <c r="F328" s="97">
        <f>F277+F286+F301+F326</f>
        <v>858787982.80655301</v>
      </c>
      <c r="G328" s="97"/>
      <c r="H328" s="97">
        <f t="shared" ref="H328:M328" si="316">H277+H286+H301+H326</f>
        <v>31138404.047316972</v>
      </c>
      <c r="I328" s="97">
        <f t="shared" si="316"/>
        <v>29353480.623651043</v>
      </c>
      <c r="J328" s="97">
        <f t="shared" si="316"/>
        <v>30146227.239274755</v>
      </c>
      <c r="K328" s="97">
        <f t="shared" si="316"/>
        <v>611931189.03285611</v>
      </c>
      <c r="L328" s="97">
        <f t="shared" si="316"/>
        <v>0</v>
      </c>
      <c r="M328" s="97">
        <f t="shared" si="316"/>
        <v>0</v>
      </c>
      <c r="N328" s="97"/>
      <c r="O328" s="97">
        <f>O277+O286+O301+O326</f>
        <v>10220173.568469536</v>
      </c>
      <c r="P328" s="97">
        <f>P277+P286+P301+P326</f>
        <v>9634330.2102623433</v>
      </c>
      <c r="Q328" s="97">
        <f>Q277+Q286+Q301+Q326</f>
        <v>9894523.6355637666</v>
      </c>
      <c r="R328" s="97"/>
      <c r="S328" s="97">
        <f t="shared" ref="S328:AD328" si="317">S277+S286+S301+S326</f>
        <v>0</v>
      </c>
      <c r="T328" s="97">
        <f t="shared" si="317"/>
        <v>6038921.8043329045</v>
      </c>
      <c r="U328" s="97">
        <f t="shared" si="317"/>
        <v>0</v>
      </c>
      <c r="V328" s="97">
        <f t="shared" si="317"/>
        <v>17977958.306229465</v>
      </c>
      <c r="W328" s="97">
        <f t="shared" si="317"/>
        <v>23002819.935220938</v>
      </c>
      <c r="X328" s="97">
        <f t="shared" si="317"/>
        <v>3172580.8775699055</v>
      </c>
      <c r="Y328" s="97">
        <f t="shared" si="317"/>
        <v>4059321.1650389899</v>
      </c>
      <c r="Z328" s="97">
        <f t="shared" si="317"/>
        <v>3117101.552641545</v>
      </c>
      <c r="AA328" s="97">
        <f t="shared" si="317"/>
        <v>2667091.3451902317</v>
      </c>
      <c r="AB328" s="97">
        <f t="shared" si="317"/>
        <v>1729699.6727040512</v>
      </c>
      <c r="AC328" s="97">
        <f t="shared" si="317"/>
        <v>9506356.9856849518</v>
      </c>
      <c r="AD328" s="97">
        <f t="shared" si="317"/>
        <v>1965110.121125703</v>
      </c>
      <c r="AE328" s="97"/>
      <c r="AF328" s="97">
        <f>AF277+AF286+AF301+AF326</f>
        <v>37377841.874573663</v>
      </c>
      <c r="AG328" s="97"/>
      <c r="AH328" s="97">
        <f>AH277+AH286+AH301+AH326</f>
        <v>15854850.808846243</v>
      </c>
      <c r="AI328" s="97"/>
      <c r="AJ328" s="97">
        <f>AJ277+AJ286+AJ301+AJ326</f>
        <v>0</v>
      </c>
      <c r="AK328" s="98">
        <f>SUM(H328:AJ328)</f>
        <v>858787982.80655313</v>
      </c>
      <c r="AL328" s="95" t="str">
        <f>IF(ABS(AK328-F328)&lt;1,"ok","err")</f>
        <v>ok</v>
      </c>
    </row>
    <row r="329" spans="1:38" x14ac:dyDescent="0.25">
      <c r="F329" s="98"/>
      <c r="H329" s="98"/>
      <c r="I329" s="98"/>
      <c r="J329" s="98"/>
      <c r="K329" s="98"/>
      <c r="L329" s="98"/>
      <c r="M329" s="98"/>
      <c r="N329" s="98"/>
      <c r="O329" s="98"/>
      <c r="P329" s="98"/>
      <c r="Q329" s="98"/>
      <c r="R329" s="98"/>
      <c r="S329" s="98"/>
      <c r="T329" s="98"/>
      <c r="U329" s="98"/>
      <c r="V329" s="98"/>
      <c r="W329" s="98"/>
      <c r="X329" s="98"/>
      <c r="Y329" s="98"/>
      <c r="Z329" s="98"/>
      <c r="AA329" s="98"/>
      <c r="AB329" s="98"/>
      <c r="AC329" s="98"/>
      <c r="AD329" s="98"/>
      <c r="AE329" s="98"/>
      <c r="AF329" s="98"/>
      <c r="AG329" s="98"/>
      <c r="AH329" s="98"/>
      <c r="AI329" s="98"/>
      <c r="AJ329" s="98"/>
      <c r="AK329" s="98"/>
      <c r="AL329" s="95"/>
    </row>
    <row r="330" spans="1:38" x14ac:dyDescent="0.25">
      <c r="A330" s="94" t="s">
        <v>1699</v>
      </c>
      <c r="C330" s="94" t="s">
        <v>947</v>
      </c>
      <c r="F330" s="99">
        <f>F328-F213-F214-F215-F216</f>
        <v>768727282.01820755</v>
      </c>
      <c r="G330" s="99">
        <f t="shared" ref="G330:M330" si="318">G328-G213</f>
        <v>0</v>
      </c>
      <c r="H330" s="99">
        <f t="shared" si="318"/>
        <v>28541932.000336546</v>
      </c>
      <c r="I330" s="99">
        <f t="shared" si="318"/>
        <v>26905844.19998987</v>
      </c>
      <c r="J330" s="99">
        <f t="shared" si="318"/>
        <v>27632487.735164195</v>
      </c>
      <c r="K330" s="99">
        <f t="shared" si="318"/>
        <v>529428336.21926284</v>
      </c>
      <c r="L330" s="99">
        <f t="shared" si="318"/>
        <v>0</v>
      </c>
      <c r="M330" s="99">
        <f t="shared" si="318"/>
        <v>0</v>
      </c>
      <c r="N330" s="99"/>
      <c r="O330" s="99">
        <f>O328-O213</f>
        <v>10220173.568469536</v>
      </c>
      <c r="P330" s="99">
        <f>P328-P213</f>
        <v>9634330.2102623433</v>
      </c>
      <c r="Q330" s="99">
        <f>Q328-Q213</f>
        <v>9894523.6355637666</v>
      </c>
      <c r="R330" s="99"/>
      <c r="S330" s="99">
        <f t="shared" ref="S330:AD330" si="319">S328-S213</f>
        <v>0</v>
      </c>
      <c r="T330" s="99">
        <f t="shared" si="319"/>
        <v>6038921.8043329045</v>
      </c>
      <c r="U330" s="99">
        <f t="shared" si="319"/>
        <v>0</v>
      </c>
      <c r="V330" s="99">
        <f t="shared" si="319"/>
        <v>17977958.306229465</v>
      </c>
      <c r="W330" s="99">
        <f t="shared" si="319"/>
        <v>23002819.935220938</v>
      </c>
      <c r="X330" s="99">
        <f t="shared" si="319"/>
        <v>3172580.8775699055</v>
      </c>
      <c r="Y330" s="99">
        <f t="shared" si="319"/>
        <v>4059321.1650389899</v>
      </c>
      <c r="Z330" s="99">
        <f t="shared" si="319"/>
        <v>3117101.552641545</v>
      </c>
      <c r="AA330" s="99">
        <f t="shared" si="319"/>
        <v>2667091.3451902317</v>
      </c>
      <c r="AB330" s="99">
        <f t="shared" si="319"/>
        <v>1729699.6727040512</v>
      </c>
      <c r="AC330" s="99">
        <f t="shared" si="319"/>
        <v>9506356.9856849518</v>
      </c>
      <c r="AD330" s="99">
        <f t="shared" si="319"/>
        <v>1965110.121125703</v>
      </c>
      <c r="AE330" s="99"/>
      <c r="AF330" s="99">
        <f>AF328-AF213</f>
        <v>37377841.874573663</v>
      </c>
      <c r="AG330" s="99"/>
      <c r="AH330" s="99">
        <f>AH328-AH213</f>
        <v>15854850.808846243</v>
      </c>
      <c r="AI330" s="99"/>
      <c r="AJ330" s="99">
        <f>AJ328-AJ213</f>
        <v>0</v>
      </c>
      <c r="AK330" s="98">
        <f>SUM(H330:AJ330)</f>
        <v>768727282.01820767</v>
      </c>
      <c r="AL330" s="95" t="str">
        <f>IF(ABS(AK330-F330)&lt;1,"ok","err")</f>
        <v>ok</v>
      </c>
    </row>
    <row r="331" spans="1:38" x14ac:dyDescent="0.25">
      <c r="Y331" s="94"/>
      <c r="AL331" s="95"/>
    </row>
    <row r="332" spans="1:38" x14ac:dyDescent="0.25">
      <c r="F332" s="99"/>
      <c r="Y332" s="94"/>
      <c r="AL332" s="95"/>
    </row>
    <row r="333" spans="1:38" x14ac:dyDescent="0.25">
      <c r="Y333" s="94"/>
      <c r="AL333" s="95"/>
    </row>
    <row r="334" spans="1:38" x14ac:dyDescent="0.25">
      <c r="Y334" s="94"/>
      <c r="AL334" s="95"/>
    </row>
    <row r="335" spans="1:38" x14ac:dyDescent="0.25">
      <c r="Y335" s="94"/>
      <c r="AL335" s="95"/>
    </row>
    <row r="336" spans="1:38" x14ac:dyDescent="0.25">
      <c r="Y336" s="94"/>
      <c r="AL336" s="95"/>
    </row>
    <row r="337" spans="25:38" x14ac:dyDescent="0.25">
      <c r="Y337" s="94"/>
      <c r="AL337" s="95"/>
    </row>
    <row r="338" spans="25:38" x14ac:dyDescent="0.25">
      <c r="Y338" s="94"/>
      <c r="AL338" s="95"/>
    </row>
    <row r="339" spans="25:38" x14ac:dyDescent="0.25">
      <c r="Y339" s="94"/>
      <c r="AL339" s="95"/>
    </row>
    <row r="340" spans="25:38" x14ac:dyDescent="0.25">
      <c r="Y340" s="94"/>
      <c r="AL340" s="95"/>
    </row>
    <row r="341" spans="25:38" x14ac:dyDescent="0.25">
      <c r="Y341" s="94"/>
      <c r="AL341" s="95"/>
    </row>
    <row r="342" spans="25:38" x14ac:dyDescent="0.25">
      <c r="Y342" s="94"/>
      <c r="AL342" s="95"/>
    </row>
    <row r="343" spans="25:38" x14ac:dyDescent="0.25">
      <c r="Y343" s="94"/>
      <c r="AL343" s="95"/>
    </row>
    <row r="344" spans="25:38" x14ac:dyDescent="0.25">
      <c r="AL344" s="95"/>
    </row>
    <row r="345" spans="25:38" x14ac:dyDescent="0.25">
      <c r="AL345" s="95"/>
    </row>
    <row r="346" spans="25:38" x14ac:dyDescent="0.25">
      <c r="AL346" s="95"/>
    </row>
    <row r="347" spans="25:38" x14ac:dyDescent="0.25">
      <c r="AL347" s="95"/>
    </row>
    <row r="348" spans="25:38" x14ac:dyDescent="0.25">
      <c r="AL348" s="95"/>
    </row>
    <row r="349" spans="25:38" x14ac:dyDescent="0.25">
      <c r="AL349" s="95"/>
    </row>
    <row r="350" spans="25:38" x14ac:dyDescent="0.25">
      <c r="AL350" s="95"/>
    </row>
    <row r="351" spans="25:38" x14ac:dyDescent="0.25">
      <c r="AL351" s="95"/>
    </row>
    <row r="352" spans="25:38" x14ac:dyDescent="0.25">
      <c r="AL352" s="95"/>
    </row>
    <row r="353" spans="1:38" x14ac:dyDescent="0.25">
      <c r="AL353" s="95"/>
    </row>
    <row r="354" spans="1:38" x14ac:dyDescent="0.25">
      <c r="AL354" s="95"/>
    </row>
    <row r="355" spans="1:38" x14ac:dyDescent="0.25">
      <c r="AL355" s="95"/>
    </row>
    <row r="356" spans="1:38" x14ac:dyDescent="0.25">
      <c r="A356" s="15" t="s">
        <v>1038</v>
      </c>
      <c r="Y356" s="94"/>
      <c r="AL356" s="95"/>
    </row>
    <row r="357" spans="1:38" x14ac:dyDescent="0.25">
      <c r="A357" s="15"/>
      <c r="Y357" s="94"/>
      <c r="AL357" s="95"/>
    </row>
    <row r="358" spans="1:38" x14ac:dyDescent="0.25">
      <c r="A358" s="16" t="s">
        <v>1929</v>
      </c>
      <c r="Y358" s="94"/>
      <c r="AL358" s="95"/>
    </row>
    <row r="359" spans="1:38" x14ac:dyDescent="0.25">
      <c r="A359" s="94">
        <v>500</v>
      </c>
      <c r="B359" s="94" t="s">
        <v>1921</v>
      </c>
      <c r="C359" s="94" t="s">
        <v>1991</v>
      </c>
      <c r="D359" s="94" t="s">
        <v>893</v>
      </c>
      <c r="F359" s="97">
        <f>'Jurisdictional Study'!F1320</f>
        <v>4189374.1917603221</v>
      </c>
      <c r="H359" s="98">
        <f t="shared" ref="H359:H364" si="320">IF(VLOOKUP($D359,$C$5:$AJ$646,6,)=0,0,((VLOOKUP($D359,$C$5:$AJ$646,6,)/VLOOKUP($D359,$C$5:$AJ$646,4,))*$F359))</f>
        <v>1193067.2788897946</v>
      </c>
      <c r="I359" s="98">
        <f t="shared" ref="I359:I364" si="321">IF(VLOOKUP($D359,$C$5:$AJ$646,7,)=0,0,((VLOOKUP($D359,$C$5:$AJ$646,7,)/VLOOKUP($D359,$C$5:$AJ$646,4,))*$F359))</f>
        <v>1124677.9764430863</v>
      </c>
      <c r="J359" s="98">
        <f t="shared" ref="J359:J364" si="322">IF(VLOOKUP($D359,$C$5:$AJ$646,8,)=0,0,((VLOOKUP($D359,$C$5:$AJ$646,8,)/VLOOKUP($D359,$C$5:$AJ$646,4,))*$F359))</f>
        <v>1155052.0459077277</v>
      </c>
      <c r="K359" s="98">
        <f t="shared" ref="K359:K364" si="323">IF(VLOOKUP($D359,$C$5:$AJ$646,9,)=0,0,((VLOOKUP($D359,$C$5:$AJ$646,9,)/VLOOKUP($D359,$C$5:$AJ$646,4,))*$F359))</f>
        <v>716576.89051971317</v>
      </c>
      <c r="L359" s="98">
        <f t="shared" ref="L359:L364" si="324">IF(VLOOKUP($D359,$C$5:$AJ$646,10,)=0,0,((VLOOKUP($D359,$C$5:$AJ$646,10,)/VLOOKUP($D359,$C$5:$AJ$646,4,))*$F359))</f>
        <v>0</v>
      </c>
      <c r="M359" s="98">
        <f t="shared" ref="M359:M364" si="325">IF(VLOOKUP($D359,$C$5:$AJ$646,11,)=0,0,((VLOOKUP($D359,$C$5:$AJ$646,11,)/VLOOKUP($D359,$C$5:$AJ$646,4,))*$F359))</f>
        <v>0</v>
      </c>
      <c r="N359" s="98"/>
      <c r="O359" s="98">
        <f t="shared" ref="O359:O364" si="326">IF(VLOOKUP($D359,$C$5:$AJ$646,13,)=0,0,((VLOOKUP($D359,$C$5:$AJ$646,13,)/VLOOKUP($D359,$C$5:$AJ$646,4,))*$F359))</f>
        <v>0</v>
      </c>
      <c r="P359" s="98">
        <f t="shared" ref="P359:P364" si="327">IF(VLOOKUP($D359,$C$5:$AJ$646,14,)=0,0,((VLOOKUP($D359,$C$5:$AJ$646,14,)/VLOOKUP($D359,$C$5:$AJ$646,4,))*$F359))</f>
        <v>0</v>
      </c>
      <c r="Q359" s="98">
        <f t="shared" ref="Q359:Q364" si="328">IF(VLOOKUP($D359,$C$5:$AJ$646,15,)=0,0,((VLOOKUP($D359,$C$5:$AJ$646,15,)/VLOOKUP($D359,$C$5:$AJ$646,4,))*$F359))</f>
        <v>0</v>
      </c>
      <c r="R359" s="98"/>
      <c r="S359" s="98">
        <f t="shared" ref="S359:S364" si="329">IF(VLOOKUP($D359,$C$5:$AJ$646,17,)=0,0,((VLOOKUP($D359,$C$5:$AJ$646,17,)/VLOOKUP($D359,$C$5:$AJ$646,4,))*$F359))</f>
        <v>0</v>
      </c>
      <c r="T359" s="98">
        <f t="shared" ref="T359:T364" si="330">IF(VLOOKUP($D359,$C$5:$AJ$646,18,)=0,0,((VLOOKUP($D359,$C$5:$AJ$646,18,)/VLOOKUP($D359,$C$5:$AJ$646,4,))*$F359))</f>
        <v>0</v>
      </c>
      <c r="U359" s="98">
        <f t="shared" ref="U359:U364" si="331">IF(VLOOKUP($D359,$C$5:$AJ$646,19,)=0,0,((VLOOKUP($D359,$C$5:$AJ$646,19,)/VLOOKUP($D359,$C$5:$AJ$646,4,))*$F359))</f>
        <v>0</v>
      </c>
      <c r="V359" s="98">
        <f t="shared" ref="V359:V364" si="332">IF(VLOOKUP($D359,$C$5:$AJ$646,20,)=0,0,((VLOOKUP($D359,$C$5:$AJ$646,20,)/VLOOKUP($D359,$C$5:$AJ$646,4,))*$F359))</f>
        <v>0</v>
      </c>
      <c r="W359" s="98">
        <f t="shared" ref="W359:W364" si="333">IF(VLOOKUP($D359,$C$5:$AJ$646,21,)=0,0,((VLOOKUP($D359,$C$5:$AJ$646,21,)/VLOOKUP($D359,$C$5:$AJ$646,4,))*$F359))</f>
        <v>0</v>
      </c>
      <c r="X359" s="98">
        <f t="shared" ref="X359:X364" si="334">IF(VLOOKUP($D359,$C$5:$AJ$646,22,)=0,0,((VLOOKUP($D359,$C$5:$AJ$646,22,)/VLOOKUP($D359,$C$5:$AJ$646,4,))*$F359))</f>
        <v>0</v>
      </c>
      <c r="Y359" s="98">
        <f t="shared" ref="Y359:Y364" si="335">IF(VLOOKUP($D359,$C$5:$AJ$646,23,)=0,0,((VLOOKUP($D359,$C$5:$AJ$646,23,)/VLOOKUP($D359,$C$5:$AJ$646,4,))*$F359))</f>
        <v>0</v>
      </c>
      <c r="Z359" s="98">
        <f t="shared" ref="Z359:Z364" si="336">IF(VLOOKUP($D359,$C$5:$AJ$646,24,)=0,0,((VLOOKUP($D359,$C$5:$AJ$646,24,)/VLOOKUP($D359,$C$5:$AJ$646,4,))*$F359))</f>
        <v>0</v>
      </c>
      <c r="AA359" s="98">
        <f t="shared" ref="AA359:AA364" si="337">IF(VLOOKUP($D359,$C$5:$AJ$646,25,)=0,0,((VLOOKUP($D359,$C$5:$AJ$646,25,)/VLOOKUP($D359,$C$5:$AJ$646,4,))*$F359))</f>
        <v>0</v>
      </c>
      <c r="AB359" s="98">
        <f t="shared" ref="AB359:AB364" si="338">IF(VLOOKUP($D359,$C$5:$AJ$646,26,)=0,0,((VLOOKUP($D359,$C$5:$AJ$646,26,)/VLOOKUP($D359,$C$5:$AJ$646,4,))*$F359))</f>
        <v>0</v>
      </c>
      <c r="AC359" s="98">
        <f t="shared" ref="AC359:AC364" si="339">IF(VLOOKUP($D359,$C$5:$AJ$646,27,)=0,0,((VLOOKUP($D359,$C$5:$AJ$646,27,)/VLOOKUP($D359,$C$5:$AJ$646,4,))*$F359))</f>
        <v>0</v>
      </c>
      <c r="AD359" s="98">
        <f t="shared" ref="AD359:AD364" si="340">IF(VLOOKUP($D359,$C$5:$AJ$646,28,)=0,0,((VLOOKUP($D359,$C$5:$AJ$646,28,)/VLOOKUP($D359,$C$5:$AJ$646,4,))*$F359))</f>
        <v>0</v>
      </c>
      <c r="AE359" s="98"/>
      <c r="AF359" s="98">
        <f t="shared" ref="AF359:AF364" si="341">IF(VLOOKUP($D359,$C$5:$AJ$646,30,)=0,0,((VLOOKUP($D359,$C$5:$AJ$646,30,)/VLOOKUP($D359,$C$5:$AJ$646,4,))*$F359))</f>
        <v>0</v>
      </c>
      <c r="AG359" s="98"/>
      <c r="AH359" s="98">
        <f t="shared" ref="AH359:AH364" si="342">IF(VLOOKUP($D359,$C$5:$AJ$646,32,)=0,0,((VLOOKUP($D359,$C$5:$AJ$646,32,)/VLOOKUP($D359,$C$5:$AJ$646,4,))*$F359))</f>
        <v>0</v>
      </c>
      <c r="AI359" s="98"/>
      <c r="AJ359" s="98">
        <f t="shared" ref="AJ359:AJ364" si="343">IF(VLOOKUP($D359,$C$5:$AJ$646,34,)=0,0,((VLOOKUP($D359,$C$5:$AJ$646,34,)/VLOOKUP($D359,$C$5:$AJ$646,4,))*$F359))</f>
        <v>0</v>
      </c>
      <c r="AK359" s="98">
        <f t="shared" ref="AK359:AK377" si="344">SUM(H359:AJ359)</f>
        <v>4189374.1917603211</v>
      </c>
      <c r="AL359" s="95" t="str">
        <f t="shared" ref="AL359:AL377" si="345">IF(ABS(AK359-F359)&lt;1,"ok","err")</f>
        <v>ok</v>
      </c>
    </row>
    <row r="360" spans="1:38" x14ac:dyDescent="0.25">
      <c r="A360" s="108">
        <v>501</v>
      </c>
      <c r="B360" s="94" t="s">
        <v>1923</v>
      </c>
      <c r="C360" s="94" t="s">
        <v>1992</v>
      </c>
      <c r="D360" s="94" t="s">
        <v>124</v>
      </c>
      <c r="F360" s="98">
        <f>'Jurisdictional Study'!F1311</f>
        <v>3035692.05574243</v>
      </c>
      <c r="H360" s="98">
        <f t="shared" si="320"/>
        <v>0</v>
      </c>
      <c r="I360" s="98">
        <f t="shared" si="321"/>
        <v>0</v>
      </c>
      <c r="J360" s="98">
        <f t="shared" si="322"/>
        <v>0</v>
      </c>
      <c r="K360" s="98">
        <f t="shared" si="323"/>
        <v>3035692.05574243</v>
      </c>
      <c r="L360" s="98">
        <f t="shared" si="324"/>
        <v>0</v>
      </c>
      <c r="M360" s="98">
        <f t="shared" si="325"/>
        <v>0</v>
      </c>
      <c r="N360" s="98"/>
      <c r="O360" s="98">
        <f t="shared" si="326"/>
        <v>0</v>
      </c>
      <c r="P360" s="98">
        <f t="shared" si="327"/>
        <v>0</v>
      </c>
      <c r="Q360" s="98">
        <f t="shared" si="328"/>
        <v>0</v>
      </c>
      <c r="R360" s="98"/>
      <c r="S360" s="98">
        <f t="shared" si="329"/>
        <v>0</v>
      </c>
      <c r="T360" s="98">
        <f t="shared" si="330"/>
        <v>0</v>
      </c>
      <c r="U360" s="98">
        <f t="shared" si="331"/>
        <v>0</v>
      </c>
      <c r="V360" s="98">
        <f t="shared" si="332"/>
        <v>0</v>
      </c>
      <c r="W360" s="98">
        <f t="shared" si="333"/>
        <v>0</v>
      </c>
      <c r="X360" s="98">
        <f t="shared" si="334"/>
        <v>0</v>
      </c>
      <c r="Y360" s="98">
        <f t="shared" si="335"/>
        <v>0</v>
      </c>
      <c r="Z360" s="98">
        <f t="shared" si="336"/>
        <v>0</v>
      </c>
      <c r="AA360" s="98">
        <f t="shared" si="337"/>
        <v>0</v>
      </c>
      <c r="AB360" s="98">
        <f t="shared" si="338"/>
        <v>0</v>
      </c>
      <c r="AC360" s="98">
        <f t="shared" si="339"/>
        <v>0</v>
      </c>
      <c r="AD360" s="98">
        <f t="shared" si="340"/>
        <v>0</v>
      </c>
      <c r="AE360" s="98"/>
      <c r="AF360" s="98">
        <f t="shared" si="341"/>
        <v>0</v>
      </c>
      <c r="AG360" s="98"/>
      <c r="AH360" s="98">
        <f t="shared" si="342"/>
        <v>0</v>
      </c>
      <c r="AI360" s="98"/>
      <c r="AJ360" s="98">
        <f t="shared" si="343"/>
        <v>0</v>
      </c>
      <c r="AK360" s="98">
        <f t="shared" si="344"/>
        <v>3035692.05574243</v>
      </c>
      <c r="AL360" s="95" t="str">
        <f t="shared" si="345"/>
        <v>ok</v>
      </c>
    </row>
    <row r="361" spans="1:38" x14ac:dyDescent="0.25">
      <c r="A361" s="94">
        <v>502</v>
      </c>
      <c r="B361" s="94" t="s">
        <v>1925</v>
      </c>
      <c r="C361" s="94" t="s">
        <v>1993</v>
      </c>
      <c r="D361" s="94" t="s">
        <v>885</v>
      </c>
      <c r="F361" s="98">
        <f>'Jurisdictional Study'!F1321</f>
        <v>7897508.5380872684</v>
      </c>
      <c r="H361" s="98">
        <f t="shared" si="320"/>
        <v>2713161.2369598211</v>
      </c>
      <c r="I361" s="98">
        <f t="shared" si="321"/>
        <v>2557636.7265618872</v>
      </c>
      <c r="J361" s="98">
        <f t="shared" si="322"/>
        <v>2626710.5745655606</v>
      </c>
      <c r="K361" s="98">
        <f t="shared" si="323"/>
        <v>0</v>
      </c>
      <c r="L361" s="98">
        <f t="shared" si="324"/>
        <v>0</v>
      </c>
      <c r="M361" s="98">
        <f t="shared" si="325"/>
        <v>0</v>
      </c>
      <c r="N361" s="98"/>
      <c r="O361" s="98">
        <f t="shared" si="326"/>
        <v>0</v>
      </c>
      <c r="P361" s="98">
        <f t="shared" si="327"/>
        <v>0</v>
      </c>
      <c r="Q361" s="98">
        <f t="shared" si="328"/>
        <v>0</v>
      </c>
      <c r="R361" s="98"/>
      <c r="S361" s="98">
        <f t="shared" si="329"/>
        <v>0</v>
      </c>
      <c r="T361" s="98">
        <f t="shared" si="330"/>
        <v>0</v>
      </c>
      <c r="U361" s="98">
        <f t="shared" si="331"/>
        <v>0</v>
      </c>
      <c r="V361" s="98">
        <f t="shared" si="332"/>
        <v>0</v>
      </c>
      <c r="W361" s="98">
        <f t="shared" si="333"/>
        <v>0</v>
      </c>
      <c r="X361" s="98">
        <f t="shared" si="334"/>
        <v>0</v>
      </c>
      <c r="Y361" s="98">
        <f t="shared" si="335"/>
        <v>0</v>
      </c>
      <c r="Z361" s="98">
        <f t="shared" si="336"/>
        <v>0</v>
      </c>
      <c r="AA361" s="98">
        <f t="shared" si="337"/>
        <v>0</v>
      </c>
      <c r="AB361" s="98">
        <f t="shared" si="338"/>
        <v>0</v>
      </c>
      <c r="AC361" s="98">
        <f t="shared" si="339"/>
        <v>0</v>
      </c>
      <c r="AD361" s="98">
        <f t="shared" si="340"/>
        <v>0</v>
      </c>
      <c r="AE361" s="98"/>
      <c r="AF361" s="98">
        <f t="shared" si="341"/>
        <v>0</v>
      </c>
      <c r="AG361" s="98"/>
      <c r="AH361" s="98">
        <f t="shared" si="342"/>
        <v>0</v>
      </c>
      <c r="AI361" s="98"/>
      <c r="AJ361" s="98">
        <f t="shared" si="343"/>
        <v>0</v>
      </c>
      <c r="AK361" s="98">
        <f t="shared" si="344"/>
        <v>7897508.5380872684</v>
      </c>
      <c r="AL361" s="95" t="str">
        <f t="shared" si="345"/>
        <v>ok</v>
      </c>
    </row>
    <row r="362" spans="1:38" x14ac:dyDescent="0.25">
      <c r="A362" s="94">
        <v>505</v>
      </c>
      <c r="B362" s="94" t="s">
        <v>1927</v>
      </c>
      <c r="C362" s="94" t="s">
        <v>1994</v>
      </c>
      <c r="D362" s="94" t="s">
        <v>885</v>
      </c>
      <c r="F362" s="98">
        <f>'Jurisdictional Study'!F1322</f>
        <v>5503564.8837563703</v>
      </c>
      <c r="H362" s="98">
        <f t="shared" si="320"/>
        <v>1890730.3278861064</v>
      </c>
      <c r="I362" s="98">
        <f t="shared" si="321"/>
        <v>1782349.408782121</v>
      </c>
      <c r="J362" s="98">
        <f t="shared" si="322"/>
        <v>1830485.1470881428</v>
      </c>
      <c r="K362" s="98">
        <f t="shared" si="323"/>
        <v>0</v>
      </c>
      <c r="L362" s="98">
        <f t="shared" si="324"/>
        <v>0</v>
      </c>
      <c r="M362" s="98">
        <f t="shared" si="325"/>
        <v>0</v>
      </c>
      <c r="N362" s="98"/>
      <c r="O362" s="98">
        <f t="shared" si="326"/>
        <v>0</v>
      </c>
      <c r="P362" s="98">
        <f t="shared" si="327"/>
        <v>0</v>
      </c>
      <c r="Q362" s="98">
        <f t="shared" si="328"/>
        <v>0</v>
      </c>
      <c r="R362" s="98"/>
      <c r="S362" s="98">
        <f t="shared" si="329"/>
        <v>0</v>
      </c>
      <c r="T362" s="98">
        <f t="shared" si="330"/>
        <v>0</v>
      </c>
      <c r="U362" s="98">
        <f t="shared" si="331"/>
        <v>0</v>
      </c>
      <c r="V362" s="98">
        <f t="shared" si="332"/>
        <v>0</v>
      </c>
      <c r="W362" s="98">
        <f t="shared" si="333"/>
        <v>0</v>
      </c>
      <c r="X362" s="98">
        <f t="shared" si="334"/>
        <v>0</v>
      </c>
      <c r="Y362" s="98">
        <f t="shared" si="335"/>
        <v>0</v>
      </c>
      <c r="Z362" s="98">
        <f t="shared" si="336"/>
        <v>0</v>
      </c>
      <c r="AA362" s="98">
        <f t="shared" si="337"/>
        <v>0</v>
      </c>
      <c r="AB362" s="98">
        <f t="shared" si="338"/>
        <v>0</v>
      </c>
      <c r="AC362" s="98">
        <f t="shared" si="339"/>
        <v>0</v>
      </c>
      <c r="AD362" s="98">
        <f t="shared" si="340"/>
        <v>0</v>
      </c>
      <c r="AE362" s="98"/>
      <c r="AF362" s="98">
        <f t="shared" si="341"/>
        <v>0</v>
      </c>
      <c r="AG362" s="98"/>
      <c r="AH362" s="98">
        <f t="shared" si="342"/>
        <v>0</v>
      </c>
      <c r="AI362" s="98"/>
      <c r="AJ362" s="98">
        <f t="shared" si="343"/>
        <v>0</v>
      </c>
      <c r="AK362" s="98">
        <f t="shared" si="344"/>
        <v>5503564.8837563703</v>
      </c>
      <c r="AL362" s="95" t="str">
        <f t="shared" si="345"/>
        <v>ok</v>
      </c>
    </row>
    <row r="363" spans="1:38" x14ac:dyDescent="0.25">
      <c r="A363" s="94">
        <v>506</v>
      </c>
      <c r="B363" s="94" t="s">
        <v>1930</v>
      </c>
      <c r="C363" s="94" t="s">
        <v>1995</v>
      </c>
      <c r="D363" s="94" t="s">
        <v>885</v>
      </c>
      <c r="F363" s="98">
        <f>'Jurisdictional Study'!F1323</f>
        <v>1311015.8431810839</v>
      </c>
      <c r="H363" s="98">
        <f t="shared" si="320"/>
        <v>450394.87448539014</v>
      </c>
      <c r="I363" s="98">
        <f t="shared" si="321"/>
        <v>424577.22628009238</v>
      </c>
      <c r="J363" s="98">
        <f t="shared" si="322"/>
        <v>436043.74241560139</v>
      </c>
      <c r="K363" s="98">
        <f t="shared" si="323"/>
        <v>0</v>
      </c>
      <c r="L363" s="98">
        <f t="shared" si="324"/>
        <v>0</v>
      </c>
      <c r="M363" s="98">
        <f t="shared" si="325"/>
        <v>0</v>
      </c>
      <c r="N363" s="98"/>
      <c r="O363" s="98">
        <f t="shared" si="326"/>
        <v>0</v>
      </c>
      <c r="P363" s="98">
        <f t="shared" si="327"/>
        <v>0</v>
      </c>
      <c r="Q363" s="98">
        <f t="shared" si="328"/>
        <v>0</v>
      </c>
      <c r="R363" s="98"/>
      <c r="S363" s="98">
        <f t="shared" si="329"/>
        <v>0</v>
      </c>
      <c r="T363" s="98">
        <f t="shared" si="330"/>
        <v>0</v>
      </c>
      <c r="U363" s="98">
        <f t="shared" si="331"/>
        <v>0</v>
      </c>
      <c r="V363" s="98">
        <f t="shared" si="332"/>
        <v>0</v>
      </c>
      <c r="W363" s="98">
        <f t="shared" si="333"/>
        <v>0</v>
      </c>
      <c r="X363" s="98">
        <f t="shared" si="334"/>
        <v>0</v>
      </c>
      <c r="Y363" s="98">
        <f t="shared" si="335"/>
        <v>0</v>
      </c>
      <c r="Z363" s="98">
        <f t="shared" si="336"/>
        <v>0</v>
      </c>
      <c r="AA363" s="98">
        <f t="shared" si="337"/>
        <v>0</v>
      </c>
      <c r="AB363" s="98">
        <f t="shared" si="338"/>
        <v>0</v>
      </c>
      <c r="AC363" s="98">
        <f t="shared" si="339"/>
        <v>0</v>
      </c>
      <c r="AD363" s="98">
        <f t="shared" si="340"/>
        <v>0</v>
      </c>
      <c r="AE363" s="98"/>
      <c r="AF363" s="98">
        <f t="shared" si="341"/>
        <v>0</v>
      </c>
      <c r="AG363" s="98"/>
      <c r="AH363" s="98">
        <f t="shared" si="342"/>
        <v>0</v>
      </c>
      <c r="AI363" s="98"/>
      <c r="AJ363" s="98">
        <f t="shared" si="343"/>
        <v>0</v>
      </c>
      <c r="AK363" s="98">
        <f t="shared" si="344"/>
        <v>1311015.8431810839</v>
      </c>
      <c r="AL363" s="95" t="str">
        <f t="shared" si="345"/>
        <v>ok</v>
      </c>
    </row>
    <row r="364" spans="1:38" x14ac:dyDescent="0.25">
      <c r="A364" s="94">
        <v>507</v>
      </c>
      <c r="B364" s="94" t="s">
        <v>455</v>
      </c>
      <c r="C364" s="94" t="s">
        <v>152</v>
      </c>
      <c r="D364" s="94" t="s">
        <v>885</v>
      </c>
      <c r="F364" s="98">
        <v>0</v>
      </c>
      <c r="H364" s="98">
        <f t="shared" si="320"/>
        <v>0</v>
      </c>
      <c r="I364" s="98">
        <f t="shared" si="321"/>
        <v>0</v>
      </c>
      <c r="J364" s="98">
        <f t="shared" si="322"/>
        <v>0</v>
      </c>
      <c r="K364" s="98">
        <f t="shared" si="323"/>
        <v>0</v>
      </c>
      <c r="L364" s="98">
        <f t="shared" si="324"/>
        <v>0</v>
      </c>
      <c r="M364" s="98">
        <f t="shared" si="325"/>
        <v>0</v>
      </c>
      <c r="N364" s="98"/>
      <c r="O364" s="98">
        <f t="shared" si="326"/>
        <v>0</v>
      </c>
      <c r="P364" s="98">
        <f t="shared" si="327"/>
        <v>0</v>
      </c>
      <c r="Q364" s="98">
        <f t="shared" si="328"/>
        <v>0</v>
      </c>
      <c r="R364" s="98"/>
      <c r="S364" s="98">
        <f t="shared" si="329"/>
        <v>0</v>
      </c>
      <c r="T364" s="98">
        <f t="shared" si="330"/>
        <v>0</v>
      </c>
      <c r="U364" s="98">
        <f t="shared" si="331"/>
        <v>0</v>
      </c>
      <c r="V364" s="98">
        <f t="shared" si="332"/>
        <v>0</v>
      </c>
      <c r="W364" s="98">
        <f t="shared" si="333"/>
        <v>0</v>
      </c>
      <c r="X364" s="98">
        <f t="shared" si="334"/>
        <v>0</v>
      </c>
      <c r="Y364" s="98">
        <f t="shared" si="335"/>
        <v>0</v>
      </c>
      <c r="Z364" s="98">
        <f t="shared" si="336"/>
        <v>0</v>
      </c>
      <c r="AA364" s="98">
        <f t="shared" si="337"/>
        <v>0</v>
      </c>
      <c r="AB364" s="98">
        <f t="shared" si="338"/>
        <v>0</v>
      </c>
      <c r="AC364" s="98">
        <f t="shared" si="339"/>
        <v>0</v>
      </c>
      <c r="AD364" s="98">
        <f t="shared" si="340"/>
        <v>0</v>
      </c>
      <c r="AE364" s="98"/>
      <c r="AF364" s="98">
        <f t="shared" si="341"/>
        <v>0</v>
      </c>
      <c r="AG364" s="98"/>
      <c r="AH364" s="98">
        <f t="shared" si="342"/>
        <v>0</v>
      </c>
      <c r="AI364" s="98"/>
      <c r="AJ364" s="98">
        <f t="shared" si="343"/>
        <v>0</v>
      </c>
      <c r="AK364" s="98">
        <f t="shared" si="344"/>
        <v>0</v>
      </c>
      <c r="AL364" s="95" t="str">
        <f t="shared" si="345"/>
        <v>ok</v>
      </c>
    </row>
    <row r="365" spans="1:38" x14ac:dyDescent="0.25">
      <c r="F365" s="97"/>
      <c r="Y365" s="94"/>
      <c r="AK365" s="98"/>
      <c r="AL365" s="95"/>
    </row>
    <row r="366" spans="1:38" x14ac:dyDescent="0.25">
      <c r="B366" s="94" t="s">
        <v>1932</v>
      </c>
      <c r="C366" s="94" t="s">
        <v>883</v>
      </c>
      <c r="F366" s="97">
        <f>SUM(F359:F365)</f>
        <v>21937155.512527473</v>
      </c>
      <c r="H366" s="97">
        <f t="shared" ref="H366:M366" si="346">SUM(H359:H365)</f>
        <v>6247353.7182211122</v>
      </c>
      <c r="I366" s="97">
        <f t="shared" si="346"/>
        <v>5889241.338067187</v>
      </c>
      <c r="J366" s="97">
        <f t="shared" si="346"/>
        <v>6048291.5099770324</v>
      </c>
      <c r="K366" s="97">
        <f t="shared" si="346"/>
        <v>3752268.9462621431</v>
      </c>
      <c r="L366" s="97">
        <f t="shared" si="346"/>
        <v>0</v>
      </c>
      <c r="M366" s="97">
        <f t="shared" si="346"/>
        <v>0</v>
      </c>
      <c r="O366" s="97">
        <f>SUM(O359:O365)</f>
        <v>0</v>
      </c>
      <c r="P366" s="97">
        <f>SUM(P359:P365)</f>
        <v>0</v>
      </c>
      <c r="Q366" s="97">
        <f>SUM(Q359:Q365)</f>
        <v>0</v>
      </c>
      <c r="S366" s="97">
        <f t="shared" ref="S366:AD366" si="347">SUM(S359:S365)</f>
        <v>0</v>
      </c>
      <c r="T366" s="97">
        <f t="shared" si="347"/>
        <v>0</v>
      </c>
      <c r="U366" s="97">
        <f t="shared" si="347"/>
        <v>0</v>
      </c>
      <c r="V366" s="97">
        <f t="shared" si="347"/>
        <v>0</v>
      </c>
      <c r="W366" s="97">
        <f t="shared" si="347"/>
        <v>0</v>
      </c>
      <c r="X366" s="97">
        <f t="shared" si="347"/>
        <v>0</v>
      </c>
      <c r="Y366" s="97">
        <f t="shared" si="347"/>
        <v>0</v>
      </c>
      <c r="Z366" s="97">
        <f t="shared" si="347"/>
        <v>0</v>
      </c>
      <c r="AA366" s="97">
        <f t="shared" si="347"/>
        <v>0</v>
      </c>
      <c r="AB366" s="97">
        <f t="shared" si="347"/>
        <v>0</v>
      </c>
      <c r="AC366" s="97">
        <f t="shared" si="347"/>
        <v>0</v>
      </c>
      <c r="AD366" s="97">
        <f t="shared" si="347"/>
        <v>0</v>
      </c>
      <c r="AF366" s="97">
        <f>SUM(AF359:AF365)</f>
        <v>0</v>
      </c>
      <c r="AH366" s="97">
        <f>SUM(AH359:AH365)</f>
        <v>0</v>
      </c>
      <c r="AJ366" s="97">
        <f>SUM(AJ359:AJ365)</f>
        <v>0</v>
      </c>
      <c r="AK366" s="98">
        <f t="shared" si="344"/>
        <v>21937155.512527473</v>
      </c>
      <c r="AL366" s="95" t="str">
        <f t="shared" si="345"/>
        <v>ok</v>
      </c>
    </row>
    <row r="367" spans="1:38" x14ac:dyDescent="0.25">
      <c r="F367" s="97"/>
      <c r="Y367" s="94"/>
      <c r="AK367" s="98"/>
      <c r="AL367" s="95"/>
    </row>
    <row r="368" spans="1:38" x14ac:dyDescent="0.25">
      <c r="A368" s="16" t="s">
        <v>1933</v>
      </c>
      <c r="F368" s="97"/>
      <c r="Y368" s="94"/>
      <c r="AK368" s="98"/>
      <c r="AL368" s="95"/>
    </row>
    <row r="369" spans="1:38" x14ac:dyDescent="0.25">
      <c r="A369" s="94">
        <v>510</v>
      </c>
      <c r="B369" s="94" t="s">
        <v>726</v>
      </c>
      <c r="C369" s="94" t="s">
        <v>1996</v>
      </c>
      <c r="D369" s="94" t="s">
        <v>894</v>
      </c>
      <c r="F369" s="97">
        <f>'Jurisdictional Study'!F1312</f>
        <v>5688357.2386594964</v>
      </c>
      <c r="H369" s="98">
        <f>IF(VLOOKUP($D369,$C$5:$AJ$646,6,)=0,0,((VLOOKUP($D369,$C$5:$AJ$646,6,)/VLOOKUP($D369,$C$5:$AJ$646,4,))*$F369))</f>
        <v>176155.81845950033</v>
      </c>
      <c r="I369" s="98">
        <f>IF(VLOOKUP($D369,$C$5:$AJ$646,7,)=0,0,((VLOOKUP($D369,$C$5:$AJ$646,7,)/VLOOKUP($D369,$C$5:$AJ$646,4,))*$F369))</f>
        <v>166058.17035571134</v>
      </c>
      <c r="J369" s="98">
        <f>IF(VLOOKUP($D369,$C$5:$AJ$646,8,)=0,0,((VLOOKUP($D369,$C$5:$AJ$646,8,)/VLOOKUP($D369,$C$5:$AJ$646,4,))*$F369))</f>
        <v>170542.88732110208</v>
      </c>
      <c r="K369" s="98">
        <f>IF(VLOOKUP($D369,$C$5:$AJ$646,9,)=0,0,((VLOOKUP($D369,$C$5:$AJ$646,9,)/VLOOKUP($D369,$C$5:$AJ$646,4,))*$F369))</f>
        <v>5175600.3625231823</v>
      </c>
      <c r="L369" s="98">
        <f>IF(VLOOKUP($D369,$C$5:$AJ$646,10,)=0,0,((VLOOKUP($D369,$C$5:$AJ$646,10,)/VLOOKUP($D369,$C$5:$AJ$646,4,))*$F369))</f>
        <v>0</v>
      </c>
      <c r="M369" s="98">
        <f>IF(VLOOKUP($D369,$C$5:$AJ$646,11,)=0,0,((VLOOKUP($D369,$C$5:$AJ$646,11,)/VLOOKUP($D369,$C$5:$AJ$646,4,))*$F369))</f>
        <v>0</v>
      </c>
      <c r="N369" s="98"/>
      <c r="O369" s="98">
        <f>IF(VLOOKUP($D369,$C$5:$AJ$646,13,)=0,0,((VLOOKUP($D369,$C$5:$AJ$646,13,)/VLOOKUP($D369,$C$5:$AJ$646,4,))*$F369))</f>
        <v>0</v>
      </c>
      <c r="P369" s="98">
        <f>IF(VLOOKUP($D369,$C$5:$AJ$646,14,)=0,0,((VLOOKUP($D369,$C$5:$AJ$646,14,)/VLOOKUP($D369,$C$5:$AJ$646,4,))*$F369))</f>
        <v>0</v>
      </c>
      <c r="Q369" s="98">
        <f>IF(VLOOKUP($D369,$C$5:$AJ$646,15,)=0,0,((VLOOKUP($D369,$C$5:$AJ$646,15,)/VLOOKUP($D369,$C$5:$AJ$646,4,))*$F369))</f>
        <v>0</v>
      </c>
      <c r="R369" s="98"/>
      <c r="S369" s="98">
        <f>IF(VLOOKUP($D369,$C$5:$AJ$646,17,)=0,0,((VLOOKUP($D369,$C$5:$AJ$646,17,)/VLOOKUP($D369,$C$5:$AJ$646,4,))*$F369))</f>
        <v>0</v>
      </c>
      <c r="T369" s="98">
        <f>IF(VLOOKUP($D369,$C$5:$AJ$646,18,)=0,0,((VLOOKUP($D369,$C$5:$AJ$646,18,)/VLOOKUP($D369,$C$5:$AJ$646,4,))*$F369))</f>
        <v>0</v>
      </c>
      <c r="U369" s="98">
        <f>IF(VLOOKUP($D369,$C$5:$AJ$646,19,)=0,0,((VLOOKUP($D369,$C$5:$AJ$646,19,)/VLOOKUP($D369,$C$5:$AJ$646,4,))*$F369))</f>
        <v>0</v>
      </c>
      <c r="V369" s="98">
        <f>IF(VLOOKUP($D369,$C$5:$AJ$646,20,)=0,0,((VLOOKUP($D369,$C$5:$AJ$646,20,)/VLOOKUP($D369,$C$5:$AJ$646,4,))*$F369))</f>
        <v>0</v>
      </c>
      <c r="W369" s="98">
        <f>IF(VLOOKUP($D369,$C$5:$AJ$646,21,)=0,0,((VLOOKUP($D369,$C$5:$AJ$646,21,)/VLOOKUP($D369,$C$5:$AJ$646,4,))*$F369))</f>
        <v>0</v>
      </c>
      <c r="X369" s="98">
        <f>IF(VLOOKUP($D369,$C$5:$AJ$646,22,)=0,0,((VLOOKUP($D369,$C$5:$AJ$646,22,)/VLOOKUP($D369,$C$5:$AJ$646,4,))*$F369))</f>
        <v>0</v>
      </c>
      <c r="Y369" s="98">
        <f>IF(VLOOKUP($D369,$C$5:$AJ$646,23,)=0,0,((VLOOKUP($D369,$C$5:$AJ$646,23,)/VLOOKUP($D369,$C$5:$AJ$646,4,))*$F369))</f>
        <v>0</v>
      </c>
      <c r="Z369" s="98">
        <f>IF(VLOOKUP($D369,$C$5:$AJ$646,24,)=0,0,((VLOOKUP($D369,$C$5:$AJ$646,24,)/VLOOKUP($D369,$C$5:$AJ$646,4,))*$F369))</f>
        <v>0</v>
      </c>
      <c r="AA369" s="98">
        <f>IF(VLOOKUP($D369,$C$5:$AJ$646,25,)=0,0,((VLOOKUP($D369,$C$5:$AJ$646,25,)/VLOOKUP($D369,$C$5:$AJ$646,4,))*$F369))</f>
        <v>0</v>
      </c>
      <c r="AB369" s="98">
        <f>IF(VLOOKUP($D369,$C$5:$AJ$646,26,)=0,0,((VLOOKUP($D369,$C$5:$AJ$646,26,)/VLOOKUP($D369,$C$5:$AJ$646,4,))*$F369))</f>
        <v>0</v>
      </c>
      <c r="AC369" s="98">
        <f>IF(VLOOKUP($D369,$C$5:$AJ$646,27,)=0,0,((VLOOKUP($D369,$C$5:$AJ$646,27,)/VLOOKUP($D369,$C$5:$AJ$646,4,))*$F369))</f>
        <v>0</v>
      </c>
      <c r="AD369" s="98">
        <f>IF(VLOOKUP($D369,$C$5:$AJ$646,28,)=0,0,((VLOOKUP($D369,$C$5:$AJ$646,28,)/VLOOKUP($D369,$C$5:$AJ$646,4,))*$F369))</f>
        <v>0</v>
      </c>
      <c r="AE369" s="98"/>
      <c r="AF369" s="98">
        <f>IF(VLOOKUP($D369,$C$5:$AJ$646,30,)=0,0,((VLOOKUP($D369,$C$5:$AJ$646,30,)/VLOOKUP($D369,$C$5:$AJ$646,4,))*$F369))</f>
        <v>0</v>
      </c>
      <c r="AG369" s="98"/>
      <c r="AH369" s="98">
        <f>IF(VLOOKUP($D369,$C$5:$AJ$646,32,)=0,0,((VLOOKUP($D369,$C$5:$AJ$646,32,)/VLOOKUP($D369,$C$5:$AJ$646,4,))*$F369))</f>
        <v>0</v>
      </c>
      <c r="AI369" s="98"/>
      <c r="AJ369" s="98">
        <f>IF(VLOOKUP($D369,$C$5:$AJ$646,34,)=0,0,((VLOOKUP($D369,$C$5:$AJ$646,34,)/VLOOKUP($D369,$C$5:$AJ$646,4,))*$F369))</f>
        <v>0</v>
      </c>
      <c r="AK369" s="98">
        <f t="shared" si="344"/>
        <v>5688357.2386594964</v>
      </c>
      <c r="AL369" s="95" t="str">
        <f t="shared" si="345"/>
        <v>ok</v>
      </c>
    </row>
    <row r="370" spans="1:38" x14ac:dyDescent="0.25">
      <c r="A370" s="94">
        <v>511</v>
      </c>
      <c r="B370" s="94" t="s">
        <v>725</v>
      </c>
      <c r="C370" s="94" t="s">
        <v>1997</v>
      </c>
      <c r="D370" s="94" t="s">
        <v>885</v>
      </c>
      <c r="F370" s="98">
        <f>'Jurisdictional Study'!F1325</f>
        <v>989588.95271596266</v>
      </c>
      <c r="H370" s="98">
        <f>IF(VLOOKUP($D370,$C$5:$AJ$646,6,)=0,0,((VLOOKUP($D370,$C$5:$AJ$646,6,)/VLOOKUP($D370,$C$5:$AJ$646,4,))*$F370))</f>
        <v>339969.79858699662</v>
      </c>
      <c r="I370" s="98">
        <f>IF(VLOOKUP($D370,$C$5:$AJ$646,7,)=0,0,((VLOOKUP($D370,$C$5:$AJ$646,7,)/VLOOKUP($D370,$C$5:$AJ$646,4,))*$F370))</f>
        <v>320481.96433849714</v>
      </c>
      <c r="J370" s="98">
        <f>IF(VLOOKUP($D370,$C$5:$AJ$646,8,)=0,0,((VLOOKUP($D370,$C$5:$AJ$646,8,)/VLOOKUP($D370,$C$5:$AJ$646,4,))*$F370))</f>
        <v>329137.18979046884</v>
      </c>
      <c r="K370" s="98">
        <f>IF(VLOOKUP($D370,$C$5:$AJ$646,9,)=0,0,((VLOOKUP($D370,$C$5:$AJ$646,9,)/VLOOKUP($D370,$C$5:$AJ$646,4,))*$F370))</f>
        <v>0</v>
      </c>
      <c r="L370" s="98">
        <f>IF(VLOOKUP($D370,$C$5:$AJ$646,10,)=0,0,((VLOOKUP($D370,$C$5:$AJ$646,10,)/VLOOKUP($D370,$C$5:$AJ$646,4,))*$F370))</f>
        <v>0</v>
      </c>
      <c r="M370" s="98">
        <f>IF(VLOOKUP($D370,$C$5:$AJ$646,11,)=0,0,((VLOOKUP($D370,$C$5:$AJ$646,11,)/VLOOKUP($D370,$C$5:$AJ$646,4,))*$F370))</f>
        <v>0</v>
      </c>
      <c r="N370" s="98"/>
      <c r="O370" s="98">
        <f>IF(VLOOKUP($D370,$C$5:$AJ$646,13,)=0,0,((VLOOKUP($D370,$C$5:$AJ$646,13,)/VLOOKUP($D370,$C$5:$AJ$646,4,))*$F370))</f>
        <v>0</v>
      </c>
      <c r="P370" s="98">
        <f>IF(VLOOKUP($D370,$C$5:$AJ$646,14,)=0,0,((VLOOKUP($D370,$C$5:$AJ$646,14,)/VLOOKUP($D370,$C$5:$AJ$646,4,))*$F370))</f>
        <v>0</v>
      </c>
      <c r="Q370" s="98">
        <f>IF(VLOOKUP($D370,$C$5:$AJ$646,15,)=0,0,((VLOOKUP($D370,$C$5:$AJ$646,15,)/VLOOKUP($D370,$C$5:$AJ$646,4,))*$F370))</f>
        <v>0</v>
      </c>
      <c r="R370" s="98"/>
      <c r="S370" s="98">
        <f>IF(VLOOKUP($D370,$C$5:$AJ$646,17,)=0,0,((VLOOKUP($D370,$C$5:$AJ$646,17,)/VLOOKUP($D370,$C$5:$AJ$646,4,))*$F370))</f>
        <v>0</v>
      </c>
      <c r="T370" s="98">
        <f>IF(VLOOKUP($D370,$C$5:$AJ$646,18,)=0,0,((VLOOKUP($D370,$C$5:$AJ$646,18,)/VLOOKUP($D370,$C$5:$AJ$646,4,))*$F370))</f>
        <v>0</v>
      </c>
      <c r="U370" s="98">
        <f>IF(VLOOKUP($D370,$C$5:$AJ$646,19,)=0,0,((VLOOKUP($D370,$C$5:$AJ$646,19,)/VLOOKUP($D370,$C$5:$AJ$646,4,))*$F370))</f>
        <v>0</v>
      </c>
      <c r="V370" s="98">
        <f>IF(VLOOKUP($D370,$C$5:$AJ$646,20,)=0,0,((VLOOKUP($D370,$C$5:$AJ$646,20,)/VLOOKUP($D370,$C$5:$AJ$646,4,))*$F370))</f>
        <v>0</v>
      </c>
      <c r="W370" s="98">
        <f>IF(VLOOKUP($D370,$C$5:$AJ$646,21,)=0,0,((VLOOKUP($D370,$C$5:$AJ$646,21,)/VLOOKUP($D370,$C$5:$AJ$646,4,))*$F370))</f>
        <v>0</v>
      </c>
      <c r="X370" s="98">
        <f>IF(VLOOKUP($D370,$C$5:$AJ$646,22,)=0,0,((VLOOKUP($D370,$C$5:$AJ$646,22,)/VLOOKUP($D370,$C$5:$AJ$646,4,))*$F370))</f>
        <v>0</v>
      </c>
      <c r="Y370" s="98">
        <f>IF(VLOOKUP($D370,$C$5:$AJ$646,23,)=0,0,((VLOOKUP($D370,$C$5:$AJ$646,23,)/VLOOKUP($D370,$C$5:$AJ$646,4,))*$F370))</f>
        <v>0</v>
      </c>
      <c r="Z370" s="98">
        <f>IF(VLOOKUP($D370,$C$5:$AJ$646,24,)=0,0,((VLOOKUP($D370,$C$5:$AJ$646,24,)/VLOOKUP($D370,$C$5:$AJ$646,4,))*$F370))</f>
        <v>0</v>
      </c>
      <c r="AA370" s="98">
        <f>IF(VLOOKUP($D370,$C$5:$AJ$646,25,)=0,0,((VLOOKUP($D370,$C$5:$AJ$646,25,)/VLOOKUP($D370,$C$5:$AJ$646,4,))*$F370))</f>
        <v>0</v>
      </c>
      <c r="AB370" s="98">
        <f>IF(VLOOKUP($D370,$C$5:$AJ$646,26,)=0,0,((VLOOKUP($D370,$C$5:$AJ$646,26,)/VLOOKUP($D370,$C$5:$AJ$646,4,))*$F370))</f>
        <v>0</v>
      </c>
      <c r="AC370" s="98">
        <f>IF(VLOOKUP($D370,$C$5:$AJ$646,27,)=0,0,((VLOOKUP($D370,$C$5:$AJ$646,27,)/VLOOKUP($D370,$C$5:$AJ$646,4,))*$F370))</f>
        <v>0</v>
      </c>
      <c r="AD370" s="98">
        <f>IF(VLOOKUP($D370,$C$5:$AJ$646,28,)=0,0,((VLOOKUP($D370,$C$5:$AJ$646,28,)/VLOOKUP($D370,$C$5:$AJ$646,4,))*$F370))</f>
        <v>0</v>
      </c>
      <c r="AE370" s="98"/>
      <c r="AF370" s="98">
        <f>IF(VLOOKUP($D370,$C$5:$AJ$646,30,)=0,0,((VLOOKUP($D370,$C$5:$AJ$646,30,)/VLOOKUP($D370,$C$5:$AJ$646,4,))*$F370))</f>
        <v>0</v>
      </c>
      <c r="AG370" s="98"/>
      <c r="AH370" s="98">
        <f>IF(VLOOKUP($D370,$C$5:$AJ$646,32,)=0,0,((VLOOKUP($D370,$C$5:$AJ$646,32,)/VLOOKUP($D370,$C$5:$AJ$646,4,))*$F370))</f>
        <v>0</v>
      </c>
      <c r="AI370" s="98"/>
      <c r="AJ370" s="98">
        <f>IF(VLOOKUP($D370,$C$5:$AJ$646,34,)=0,0,((VLOOKUP($D370,$C$5:$AJ$646,34,)/VLOOKUP($D370,$C$5:$AJ$646,4,))*$F370))</f>
        <v>0</v>
      </c>
      <c r="AK370" s="98">
        <f t="shared" si="344"/>
        <v>989588.95271596266</v>
      </c>
      <c r="AL370" s="95" t="str">
        <f t="shared" si="345"/>
        <v>ok</v>
      </c>
    </row>
    <row r="371" spans="1:38" x14ac:dyDescent="0.25">
      <c r="A371" s="94">
        <v>512</v>
      </c>
      <c r="B371" s="94" t="s">
        <v>1936</v>
      </c>
      <c r="C371" s="94" t="s">
        <v>1998</v>
      </c>
      <c r="D371" s="94" t="s">
        <v>124</v>
      </c>
      <c r="F371" s="98">
        <f>'Jurisdictional Study'!F1313</f>
        <v>7837920.1891696434</v>
      </c>
      <c r="H371" s="98">
        <f>IF(VLOOKUP($D371,$C$5:$AJ$646,6,)=0,0,((VLOOKUP($D371,$C$5:$AJ$646,6,)/VLOOKUP($D371,$C$5:$AJ$646,4,))*$F371))</f>
        <v>0</v>
      </c>
      <c r="I371" s="98">
        <f>IF(VLOOKUP($D371,$C$5:$AJ$646,7,)=0,0,((VLOOKUP($D371,$C$5:$AJ$646,7,)/VLOOKUP($D371,$C$5:$AJ$646,4,))*$F371))</f>
        <v>0</v>
      </c>
      <c r="J371" s="98">
        <f>IF(VLOOKUP($D371,$C$5:$AJ$646,8,)=0,0,((VLOOKUP($D371,$C$5:$AJ$646,8,)/VLOOKUP($D371,$C$5:$AJ$646,4,))*$F371))</f>
        <v>0</v>
      </c>
      <c r="K371" s="98">
        <f>IF(VLOOKUP($D371,$C$5:$AJ$646,9,)=0,0,((VLOOKUP($D371,$C$5:$AJ$646,9,)/VLOOKUP($D371,$C$5:$AJ$646,4,))*$F371))</f>
        <v>7837920.1891696434</v>
      </c>
      <c r="L371" s="98">
        <f>IF(VLOOKUP($D371,$C$5:$AJ$646,10,)=0,0,((VLOOKUP($D371,$C$5:$AJ$646,10,)/VLOOKUP($D371,$C$5:$AJ$646,4,))*$F371))</f>
        <v>0</v>
      </c>
      <c r="M371" s="98">
        <f>IF(VLOOKUP($D371,$C$5:$AJ$646,11,)=0,0,((VLOOKUP($D371,$C$5:$AJ$646,11,)/VLOOKUP($D371,$C$5:$AJ$646,4,))*$F371))</f>
        <v>0</v>
      </c>
      <c r="N371" s="98"/>
      <c r="O371" s="98">
        <f>IF(VLOOKUP($D371,$C$5:$AJ$646,13,)=0,0,((VLOOKUP($D371,$C$5:$AJ$646,13,)/VLOOKUP($D371,$C$5:$AJ$646,4,))*$F371))</f>
        <v>0</v>
      </c>
      <c r="P371" s="98">
        <f>IF(VLOOKUP($D371,$C$5:$AJ$646,14,)=0,0,((VLOOKUP($D371,$C$5:$AJ$646,14,)/VLOOKUP($D371,$C$5:$AJ$646,4,))*$F371))</f>
        <v>0</v>
      </c>
      <c r="Q371" s="98">
        <f>IF(VLOOKUP($D371,$C$5:$AJ$646,15,)=0,0,((VLOOKUP($D371,$C$5:$AJ$646,15,)/VLOOKUP($D371,$C$5:$AJ$646,4,))*$F371))</f>
        <v>0</v>
      </c>
      <c r="R371" s="98"/>
      <c r="S371" s="98">
        <f>IF(VLOOKUP($D371,$C$5:$AJ$646,17,)=0,0,((VLOOKUP($D371,$C$5:$AJ$646,17,)/VLOOKUP($D371,$C$5:$AJ$646,4,))*$F371))</f>
        <v>0</v>
      </c>
      <c r="T371" s="98">
        <f>IF(VLOOKUP($D371,$C$5:$AJ$646,18,)=0,0,((VLOOKUP($D371,$C$5:$AJ$646,18,)/VLOOKUP($D371,$C$5:$AJ$646,4,))*$F371))</f>
        <v>0</v>
      </c>
      <c r="U371" s="98">
        <f>IF(VLOOKUP($D371,$C$5:$AJ$646,19,)=0,0,((VLOOKUP($D371,$C$5:$AJ$646,19,)/VLOOKUP($D371,$C$5:$AJ$646,4,))*$F371))</f>
        <v>0</v>
      </c>
      <c r="V371" s="98">
        <f>IF(VLOOKUP($D371,$C$5:$AJ$646,20,)=0,0,((VLOOKUP($D371,$C$5:$AJ$646,20,)/VLOOKUP($D371,$C$5:$AJ$646,4,))*$F371))</f>
        <v>0</v>
      </c>
      <c r="W371" s="98">
        <f>IF(VLOOKUP($D371,$C$5:$AJ$646,21,)=0,0,((VLOOKUP($D371,$C$5:$AJ$646,21,)/VLOOKUP($D371,$C$5:$AJ$646,4,))*$F371))</f>
        <v>0</v>
      </c>
      <c r="X371" s="98">
        <f>IF(VLOOKUP($D371,$C$5:$AJ$646,22,)=0,0,((VLOOKUP($D371,$C$5:$AJ$646,22,)/VLOOKUP($D371,$C$5:$AJ$646,4,))*$F371))</f>
        <v>0</v>
      </c>
      <c r="Y371" s="98">
        <f>IF(VLOOKUP($D371,$C$5:$AJ$646,23,)=0,0,((VLOOKUP($D371,$C$5:$AJ$646,23,)/VLOOKUP($D371,$C$5:$AJ$646,4,))*$F371))</f>
        <v>0</v>
      </c>
      <c r="Z371" s="98">
        <f>IF(VLOOKUP($D371,$C$5:$AJ$646,24,)=0,0,((VLOOKUP($D371,$C$5:$AJ$646,24,)/VLOOKUP($D371,$C$5:$AJ$646,4,))*$F371))</f>
        <v>0</v>
      </c>
      <c r="AA371" s="98">
        <f>IF(VLOOKUP($D371,$C$5:$AJ$646,25,)=0,0,((VLOOKUP($D371,$C$5:$AJ$646,25,)/VLOOKUP($D371,$C$5:$AJ$646,4,))*$F371))</f>
        <v>0</v>
      </c>
      <c r="AB371" s="98">
        <f>IF(VLOOKUP($D371,$C$5:$AJ$646,26,)=0,0,((VLOOKUP($D371,$C$5:$AJ$646,26,)/VLOOKUP($D371,$C$5:$AJ$646,4,))*$F371))</f>
        <v>0</v>
      </c>
      <c r="AC371" s="98">
        <f>IF(VLOOKUP($D371,$C$5:$AJ$646,27,)=0,0,((VLOOKUP($D371,$C$5:$AJ$646,27,)/VLOOKUP($D371,$C$5:$AJ$646,4,))*$F371))</f>
        <v>0</v>
      </c>
      <c r="AD371" s="98">
        <f>IF(VLOOKUP($D371,$C$5:$AJ$646,28,)=0,0,((VLOOKUP($D371,$C$5:$AJ$646,28,)/VLOOKUP($D371,$C$5:$AJ$646,4,))*$F371))</f>
        <v>0</v>
      </c>
      <c r="AE371" s="98"/>
      <c r="AF371" s="98">
        <f>IF(VLOOKUP($D371,$C$5:$AJ$646,30,)=0,0,((VLOOKUP($D371,$C$5:$AJ$646,30,)/VLOOKUP($D371,$C$5:$AJ$646,4,))*$F371))</f>
        <v>0</v>
      </c>
      <c r="AG371" s="98"/>
      <c r="AH371" s="98">
        <f>IF(VLOOKUP($D371,$C$5:$AJ$646,32,)=0,0,((VLOOKUP($D371,$C$5:$AJ$646,32,)/VLOOKUP($D371,$C$5:$AJ$646,4,))*$F371))</f>
        <v>0</v>
      </c>
      <c r="AI371" s="98"/>
      <c r="AJ371" s="98">
        <f>IF(VLOOKUP($D371,$C$5:$AJ$646,34,)=0,0,((VLOOKUP($D371,$C$5:$AJ$646,34,)/VLOOKUP($D371,$C$5:$AJ$646,4,))*$F371))</f>
        <v>0</v>
      </c>
      <c r="AK371" s="98">
        <f t="shared" si="344"/>
        <v>7837920.1891696434</v>
      </c>
      <c r="AL371" s="95" t="str">
        <f t="shared" si="345"/>
        <v>ok</v>
      </c>
    </row>
    <row r="372" spans="1:38" x14ac:dyDescent="0.25">
      <c r="A372" s="94">
        <v>513</v>
      </c>
      <c r="B372" s="94" t="s">
        <v>1937</v>
      </c>
      <c r="C372" s="94" t="s">
        <v>1999</v>
      </c>
      <c r="D372" s="94" t="s">
        <v>124</v>
      </c>
      <c r="F372" s="98">
        <f>'Jurisdictional Study'!F1314</f>
        <v>1958591.1881537521</v>
      </c>
      <c r="H372" s="98">
        <f>IF(VLOOKUP($D372,$C$5:$AJ$646,6,)=0,0,((VLOOKUP($D372,$C$5:$AJ$646,6,)/VLOOKUP($D372,$C$5:$AJ$646,4,))*$F372))</f>
        <v>0</v>
      </c>
      <c r="I372" s="98">
        <f>IF(VLOOKUP($D372,$C$5:$AJ$646,7,)=0,0,((VLOOKUP($D372,$C$5:$AJ$646,7,)/VLOOKUP($D372,$C$5:$AJ$646,4,))*$F372))</f>
        <v>0</v>
      </c>
      <c r="J372" s="98">
        <f>IF(VLOOKUP($D372,$C$5:$AJ$646,8,)=0,0,((VLOOKUP($D372,$C$5:$AJ$646,8,)/VLOOKUP($D372,$C$5:$AJ$646,4,))*$F372))</f>
        <v>0</v>
      </c>
      <c r="K372" s="98">
        <f>IF(VLOOKUP($D372,$C$5:$AJ$646,9,)=0,0,((VLOOKUP($D372,$C$5:$AJ$646,9,)/VLOOKUP($D372,$C$5:$AJ$646,4,))*$F372))</f>
        <v>1958591.1881537521</v>
      </c>
      <c r="L372" s="98">
        <f>IF(VLOOKUP($D372,$C$5:$AJ$646,10,)=0,0,((VLOOKUP($D372,$C$5:$AJ$646,10,)/VLOOKUP($D372,$C$5:$AJ$646,4,))*$F372))</f>
        <v>0</v>
      </c>
      <c r="M372" s="98">
        <f>IF(VLOOKUP($D372,$C$5:$AJ$646,11,)=0,0,((VLOOKUP($D372,$C$5:$AJ$646,11,)/VLOOKUP($D372,$C$5:$AJ$646,4,))*$F372))</f>
        <v>0</v>
      </c>
      <c r="N372" s="98"/>
      <c r="O372" s="98">
        <f>IF(VLOOKUP($D372,$C$5:$AJ$646,13,)=0,0,((VLOOKUP($D372,$C$5:$AJ$646,13,)/VLOOKUP($D372,$C$5:$AJ$646,4,))*$F372))</f>
        <v>0</v>
      </c>
      <c r="P372" s="98">
        <f>IF(VLOOKUP($D372,$C$5:$AJ$646,14,)=0,0,((VLOOKUP($D372,$C$5:$AJ$646,14,)/VLOOKUP($D372,$C$5:$AJ$646,4,))*$F372))</f>
        <v>0</v>
      </c>
      <c r="Q372" s="98">
        <f>IF(VLOOKUP($D372,$C$5:$AJ$646,15,)=0,0,((VLOOKUP($D372,$C$5:$AJ$646,15,)/VLOOKUP($D372,$C$5:$AJ$646,4,))*$F372))</f>
        <v>0</v>
      </c>
      <c r="R372" s="98"/>
      <c r="S372" s="98">
        <f>IF(VLOOKUP($D372,$C$5:$AJ$646,17,)=0,0,((VLOOKUP($D372,$C$5:$AJ$646,17,)/VLOOKUP($D372,$C$5:$AJ$646,4,))*$F372))</f>
        <v>0</v>
      </c>
      <c r="T372" s="98">
        <f>IF(VLOOKUP($D372,$C$5:$AJ$646,18,)=0,0,((VLOOKUP($D372,$C$5:$AJ$646,18,)/VLOOKUP($D372,$C$5:$AJ$646,4,))*$F372))</f>
        <v>0</v>
      </c>
      <c r="U372" s="98">
        <f>IF(VLOOKUP($D372,$C$5:$AJ$646,19,)=0,0,((VLOOKUP($D372,$C$5:$AJ$646,19,)/VLOOKUP($D372,$C$5:$AJ$646,4,))*$F372))</f>
        <v>0</v>
      </c>
      <c r="V372" s="98">
        <f>IF(VLOOKUP($D372,$C$5:$AJ$646,20,)=0,0,((VLOOKUP($D372,$C$5:$AJ$646,20,)/VLOOKUP($D372,$C$5:$AJ$646,4,))*$F372))</f>
        <v>0</v>
      </c>
      <c r="W372" s="98">
        <f>IF(VLOOKUP($D372,$C$5:$AJ$646,21,)=0,0,((VLOOKUP($D372,$C$5:$AJ$646,21,)/VLOOKUP($D372,$C$5:$AJ$646,4,))*$F372))</f>
        <v>0</v>
      </c>
      <c r="X372" s="98">
        <f>IF(VLOOKUP($D372,$C$5:$AJ$646,22,)=0,0,((VLOOKUP($D372,$C$5:$AJ$646,22,)/VLOOKUP($D372,$C$5:$AJ$646,4,))*$F372))</f>
        <v>0</v>
      </c>
      <c r="Y372" s="98">
        <f>IF(VLOOKUP($D372,$C$5:$AJ$646,23,)=0,0,((VLOOKUP($D372,$C$5:$AJ$646,23,)/VLOOKUP($D372,$C$5:$AJ$646,4,))*$F372))</f>
        <v>0</v>
      </c>
      <c r="Z372" s="98">
        <f>IF(VLOOKUP($D372,$C$5:$AJ$646,24,)=0,0,((VLOOKUP($D372,$C$5:$AJ$646,24,)/VLOOKUP($D372,$C$5:$AJ$646,4,))*$F372))</f>
        <v>0</v>
      </c>
      <c r="AA372" s="98">
        <f>IF(VLOOKUP($D372,$C$5:$AJ$646,25,)=0,0,((VLOOKUP($D372,$C$5:$AJ$646,25,)/VLOOKUP($D372,$C$5:$AJ$646,4,))*$F372))</f>
        <v>0</v>
      </c>
      <c r="AB372" s="98">
        <f>IF(VLOOKUP($D372,$C$5:$AJ$646,26,)=0,0,((VLOOKUP($D372,$C$5:$AJ$646,26,)/VLOOKUP($D372,$C$5:$AJ$646,4,))*$F372))</f>
        <v>0</v>
      </c>
      <c r="AC372" s="98">
        <f>IF(VLOOKUP($D372,$C$5:$AJ$646,27,)=0,0,((VLOOKUP($D372,$C$5:$AJ$646,27,)/VLOOKUP($D372,$C$5:$AJ$646,4,))*$F372))</f>
        <v>0</v>
      </c>
      <c r="AD372" s="98">
        <f>IF(VLOOKUP($D372,$C$5:$AJ$646,28,)=0,0,((VLOOKUP($D372,$C$5:$AJ$646,28,)/VLOOKUP($D372,$C$5:$AJ$646,4,))*$F372))</f>
        <v>0</v>
      </c>
      <c r="AE372" s="98"/>
      <c r="AF372" s="98">
        <f>IF(VLOOKUP($D372,$C$5:$AJ$646,30,)=0,0,((VLOOKUP($D372,$C$5:$AJ$646,30,)/VLOOKUP($D372,$C$5:$AJ$646,4,))*$F372))</f>
        <v>0</v>
      </c>
      <c r="AG372" s="98"/>
      <c r="AH372" s="98">
        <f>IF(VLOOKUP($D372,$C$5:$AJ$646,32,)=0,0,((VLOOKUP($D372,$C$5:$AJ$646,32,)/VLOOKUP($D372,$C$5:$AJ$646,4,))*$F372))</f>
        <v>0</v>
      </c>
      <c r="AI372" s="98"/>
      <c r="AJ372" s="98">
        <f>IF(VLOOKUP($D372,$C$5:$AJ$646,34,)=0,0,((VLOOKUP($D372,$C$5:$AJ$646,34,)/VLOOKUP($D372,$C$5:$AJ$646,4,))*$F372))</f>
        <v>0</v>
      </c>
      <c r="AK372" s="98">
        <f t="shared" si="344"/>
        <v>1958591.1881537521</v>
      </c>
      <c r="AL372" s="95" t="str">
        <f t="shared" si="345"/>
        <v>ok</v>
      </c>
    </row>
    <row r="373" spans="1:38" x14ac:dyDescent="0.25">
      <c r="A373" s="94">
        <v>514</v>
      </c>
      <c r="B373" s="94" t="s">
        <v>1940</v>
      </c>
      <c r="C373" s="94" t="s">
        <v>2000</v>
      </c>
      <c r="D373" s="94" t="s">
        <v>124</v>
      </c>
      <c r="F373" s="98">
        <f>'Jurisdictional Study'!F1326</f>
        <v>192076.15955848954</v>
      </c>
      <c r="H373" s="98">
        <f>IF(VLOOKUP($D373,$C$5:$AJ$646,6,)=0,0,((VLOOKUP($D373,$C$5:$AJ$646,6,)/VLOOKUP($D373,$C$5:$AJ$646,4,))*$F373))</f>
        <v>0</v>
      </c>
      <c r="I373" s="98">
        <f>IF(VLOOKUP($D373,$C$5:$AJ$646,7,)=0,0,((VLOOKUP($D373,$C$5:$AJ$646,7,)/VLOOKUP($D373,$C$5:$AJ$646,4,))*$F373))</f>
        <v>0</v>
      </c>
      <c r="J373" s="98">
        <f>IF(VLOOKUP($D373,$C$5:$AJ$646,8,)=0,0,((VLOOKUP($D373,$C$5:$AJ$646,8,)/VLOOKUP($D373,$C$5:$AJ$646,4,))*$F373))</f>
        <v>0</v>
      </c>
      <c r="K373" s="98">
        <f>IF(VLOOKUP($D373,$C$5:$AJ$646,9,)=0,0,((VLOOKUP($D373,$C$5:$AJ$646,9,)/VLOOKUP($D373,$C$5:$AJ$646,4,))*$F373))</f>
        <v>192076.15955848954</v>
      </c>
      <c r="L373" s="98">
        <f>IF(VLOOKUP($D373,$C$5:$AJ$646,10,)=0,0,((VLOOKUP($D373,$C$5:$AJ$646,10,)/VLOOKUP($D373,$C$5:$AJ$646,4,))*$F373))</f>
        <v>0</v>
      </c>
      <c r="M373" s="98">
        <f>IF(VLOOKUP($D373,$C$5:$AJ$646,11,)=0,0,((VLOOKUP($D373,$C$5:$AJ$646,11,)/VLOOKUP($D373,$C$5:$AJ$646,4,))*$F373))</f>
        <v>0</v>
      </c>
      <c r="N373" s="98"/>
      <c r="O373" s="98">
        <f>IF(VLOOKUP($D373,$C$5:$AJ$646,13,)=0,0,((VLOOKUP($D373,$C$5:$AJ$646,13,)/VLOOKUP($D373,$C$5:$AJ$646,4,))*$F373))</f>
        <v>0</v>
      </c>
      <c r="P373" s="98">
        <f>IF(VLOOKUP($D373,$C$5:$AJ$646,14,)=0,0,((VLOOKUP($D373,$C$5:$AJ$646,14,)/VLOOKUP($D373,$C$5:$AJ$646,4,))*$F373))</f>
        <v>0</v>
      </c>
      <c r="Q373" s="98">
        <f>IF(VLOOKUP($D373,$C$5:$AJ$646,15,)=0,0,((VLOOKUP($D373,$C$5:$AJ$646,15,)/VLOOKUP($D373,$C$5:$AJ$646,4,))*$F373))</f>
        <v>0</v>
      </c>
      <c r="R373" s="98"/>
      <c r="S373" s="98">
        <f>IF(VLOOKUP($D373,$C$5:$AJ$646,17,)=0,0,((VLOOKUP($D373,$C$5:$AJ$646,17,)/VLOOKUP($D373,$C$5:$AJ$646,4,))*$F373))</f>
        <v>0</v>
      </c>
      <c r="T373" s="98">
        <f>IF(VLOOKUP($D373,$C$5:$AJ$646,18,)=0,0,((VLOOKUP($D373,$C$5:$AJ$646,18,)/VLOOKUP($D373,$C$5:$AJ$646,4,))*$F373))</f>
        <v>0</v>
      </c>
      <c r="U373" s="98">
        <f>IF(VLOOKUP($D373,$C$5:$AJ$646,19,)=0,0,((VLOOKUP($D373,$C$5:$AJ$646,19,)/VLOOKUP($D373,$C$5:$AJ$646,4,))*$F373))</f>
        <v>0</v>
      </c>
      <c r="V373" s="98">
        <f>IF(VLOOKUP($D373,$C$5:$AJ$646,20,)=0,0,((VLOOKUP($D373,$C$5:$AJ$646,20,)/VLOOKUP($D373,$C$5:$AJ$646,4,))*$F373))</f>
        <v>0</v>
      </c>
      <c r="W373" s="98">
        <f>IF(VLOOKUP($D373,$C$5:$AJ$646,21,)=0,0,((VLOOKUP($D373,$C$5:$AJ$646,21,)/VLOOKUP($D373,$C$5:$AJ$646,4,))*$F373))</f>
        <v>0</v>
      </c>
      <c r="X373" s="98">
        <f>IF(VLOOKUP($D373,$C$5:$AJ$646,22,)=0,0,((VLOOKUP($D373,$C$5:$AJ$646,22,)/VLOOKUP($D373,$C$5:$AJ$646,4,))*$F373))</f>
        <v>0</v>
      </c>
      <c r="Y373" s="98">
        <f>IF(VLOOKUP($D373,$C$5:$AJ$646,23,)=0,0,((VLOOKUP($D373,$C$5:$AJ$646,23,)/VLOOKUP($D373,$C$5:$AJ$646,4,))*$F373))</f>
        <v>0</v>
      </c>
      <c r="Z373" s="98">
        <f>IF(VLOOKUP($D373,$C$5:$AJ$646,24,)=0,0,((VLOOKUP($D373,$C$5:$AJ$646,24,)/VLOOKUP($D373,$C$5:$AJ$646,4,))*$F373))</f>
        <v>0</v>
      </c>
      <c r="AA373" s="98">
        <f>IF(VLOOKUP($D373,$C$5:$AJ$646,25,)=0,0,((VLOOKUP($D373,$C$5:$AJ$646,25,)/VLOOKUP($D373,$C$5:$AJ$646,4,))*$F373))</f>
        <v>0</v>
      </c>
      <c r="AB373" s="98">
        <f>IF(VLOOKUP($D373,$C$5:$AJ$646,26,)=0,0,((VLOOKUP($D373,$C$5:$AJ$646,26,)/VLOOKUP($D373,$C$5:$AJ$646,4,))*$F373))</f>
        <v>0</v>
      </c>
      <c r="AC373" s="98">
        <f>IF(VLOOKUP($D373,$C$5:$AJ$646,27,)=0,0,((VLOOKUP($D373,$C$5:$AJ$646,27,)/VLOOKUP($D373,$C$5:$AJ$646,4,))*$F373))</f>
        <v>0</v>
      </c>
      <c r="AD373" s="98">
        <f>IF(VLOOKUP($D373,$C$5:$AJ$646,28,)=0,0,((VLOOKUP($D373,$C$5:$AJ$646,28,)/VLOOKUP($D373,$C$5:$AJ$646,4,))*$F373))</f>
        <v>0</v>
      </c>
      <c r="AE373" s="98"/>
      <c r="AF373" s="98">
        <f>IF(VLOOKUP($D373,$C$5:$AJ$646,30,)=0,0,((VLOOKUP($D373,$C$5:$AJ$646,30,)/VLOOKUP($D373,$C$5:$AJ$646,4,))*$F373))</f>
        <v>0</v>
      </c>
      <c r="AG373" s="98"/>
      <c r="AH373" s="98">
        <f>IF(VLOOKUP($D373,$C$5:$AJ$646,32,)=0,0,((VLOOKUP($D373,$C$5:$AJ$646,32,)/VLOOKUP($D373,$C$5:$AJ$646,4,))*$F373))</f>
        <v>0</v>
      </c>
      <c r="AI373" s="98"/>
      <c r="AJ373" s="98">
        <f>IF(VLOOKUP($D373,$C$5:$AJ$646,34,)=0,0,((VLOOKUP($D373,$C$5:$AJ$646,34,)/VLOOKUP($D373,$C$5:$AJ$646,4,))*$F373))</f>
        <v>0</v>
      </c>
      <c r="AK373" s="98">
        <f t="shared" si="344"/>
        <v>192076.15955848954</v>
      </c>
      <c r="AL373" s="95" t="str">
        <f t="shared" si="345"/>
        <v>ok</v>
      </c>
    </row>
    <row r="374" spans="1:38" x14ac:dyDescent="0.25">
      <c r="F374" s="97"/>
      <c r="Y374" s="94"/>
      <c r="AK374" s="98"/>
      <c r="AL374" s="95"/>
    </row>
    <row r="375" spans="1:38" x14ac:dyDescent="0.25">
      <c r="B375" s="94" t="s">
        <v>1942</v>
      </c>
      <c r="C375" s="94" t="s">
        <v>1296</v>
      </c>
      <c r="F375" s="97">
        <f>SUM(F369:F374)</f>
        <v>16666533.728257343</v>
      </c>
      <c r="H375" s="97">
        <f t="shared" ref="H375:M375" si="348">SUM(H369:H374)</f>
        <v>516125.61704649695</v>
      </c>
      <c r="I375" s="97">
        <f t="shared" si="348"/>
        <v>486540.13469420851</v>
      </c>
      <c r="J375" s="97">
        <f t="shared" si="348"/>
        <v>499680.07711157092</v>
      </c>
      <c r="K375" s="97">
        <f t="shared" si="348"/>
        <v>15164187.899405066</v>
      </c>
      <c r="L375" s="97">
        <f t="shared" si="348"/>
        <v>0</v>
      </c>
      <c r="M375" s="97">
        <f t="shared" si="348"/>
        <v>0</v>
      </c>
      <c r="O375" s="97">
        <f>SUM(O369:O374)</f>
        <v>0</v>
      </c>
      <c r="P375" s="97">
        <f>SUM(P369:P374)</f>
        <v>0</v>
      </c>
      <c r="Q375" s="97">
        <f>SUM(Q369:Q374)</f>
        <v>0</v>
      </c>
      <c r="S375" s="97">
        <f t="shared" ref="S375:AD375" si="349">SUM(S369:S374)</f>
        <v>0</v>
      </c>
      <c r="T375" s="97">
        <f t="shared" si="349"/>
        <v>0</v>
      </c>
      <c r="U375" s="97">
        <f t="shared" si="349"/>
        <v>0</v>
      </c>
      <c r="V375" s="97">
        <f t="shared" si="349"/>
        <v>0</v>
      </c>
      <c r="W375" s="97">
        <f t="shared" si="349"/>
        <v>0</v>
      </c>
      <c r="X375" s="97">
        <f t="shared" si="349"/>
        <v>0</v>
      </c>
      <c r="Y375" s="97">
        <f t="shared" si="349"/>
        <v>0</v>
      </c>
      <c r="Z375" s="97">
        <f t="shared" si="349"/>
        <v>0</v>
      </c>
      <c r="AA375" s="97">
        <f t="shared" si="349"/>
        <v>0</v>
      </c>
      <c r="AB375" s="97">
        <f t="shared" si="349"/>
        <v>0</v>
      </c>
      <c r="AC375" s="97">
        <f t="shared" si="349"/>
        <v>0</v>
      </c>
      <c r="AD375" s="97">
        <f t="shared" si="349"/>
        <v>0</v>
      </c>
      <c r="AF375" s="97">
        <f>SUM(AF369:AF374)</f>
        <v>0</v>
      </c>
      <c r="AH375" s="97">
        <f>SUM(AH369:AH374)</f>
        <v>0</v>
      </c>
      <c r="AJ375" s="97">
        <f>SUM(AJ369:AJ374)</f>
        <v>0</v>
      </c>
      <c r="AK375" s="98">
        <f t="shared" si="344"/>
        <v>16666533.728257343</v>
      </c>
      <c r="AL375" s="95" t="str">
        <f t="shared" si="345"/>
        <v>ok</v>
      </c>
    </row>
    <row r="376" spans="1:38" x14ac:dyDescent="0.25">
      <c r="F376" s="97"/>
      <c r="H376" s="97"/>
      <c r="I376" s="97"/>
      <c r="J376" s="97"/>
      <c r="K376" s="97"/>
      <c r="L376" s="97"/>
      <c r="M376" s="97"/>
      <c r="O376" s="97"/>
      <c r="P376" s="97"/>
      <c r="Q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F376" s="97"/>
      <c r="AH376" s="97"/>
      <c r="AJ376" s="97"/>
      <c r="AK376" s="98"/>
      <c r="AL376" s="95"/>
    </row>
    <row r="377" spans="1:38" x14ac:dyDescent="0.25">
      <c r="B377" s="94" t="s">
        <v>1943</v>
      </c>
      <c r="F377" s="97">
        <f>F366+F375</f>
        <v>38603689.240784816</v>
      </c>
      <c r="H377" s="97">
        <f t="shared" ref="H377:M377" si="350">H366+H375</f>
        <v>6763479.335267609</v>
      </c>
      <c r="I377" s="97">
        <f t="shared" si="350"/>
        <v>6375781.4727613954</v>
      </c>
      <c r="J377" s="97">
        <f t="shared" si="350"/>
        <v>6547971.5870886035</v>
      </c>
      <c r="K377" s="97">
        <f t="shared" si="350"/>
        <v>18916456.845667209</v>
      </c>
      <c r="L377" s="97">
        <f t="shared" si="350"/>
        <v>0</v>
      </c>
      <c r="M377" s="97">
        <f t="shared" si="350"/>
        <v>0</v>
      </c>
      <c r="O377" s="97">
        <f>O366+O375</f>
        <v>0</v>
      </c>
      <c r="P377" s="97">
        <f>P366+P375</f>
        <v>0</v>
      </c>
      <c r="Q377" s="97">
        <f>Q366+Q375</f>
        <v>0</v>
      </c>
      <c r="S377" s="97">
        <f t="shared" ref="S377:AD377" si="351">S366+S375</f>
        <v>0</v>
      </c>
      <c r="T377" s="97">
        <f t="shared" si="351"/>
        <v>0</v>
      </c>
      <c r="U377" s="97">
        <f t="shared" si="351"/>
        <v>0</v>
      </c>
      <c r="V377" s="97">
        <f t="shared" si="351"/>
        <v>0</v>
      </c>
      <c r="W377" s="97">
        <f t="shared" si="351"/>
        <v>0</v>
      </c>
      <c r="X377" s="97">
        <f t="shared" si="351"/>
        <v>0</v>
      </c>
      <c r="Y377" s="97">
        <f t="shared" si="351"/>
        <v>0</v>
      </c>
      <c r="Z377" s="97">
        <f t="shared" si="351"/>
        <v>0</v>
      </c>
      <c r="AA377" s="97">
        <f t="shared" si="351"/>
        <v>0</v>
      </c>
      <c r="AB377" s="97">
        <f t="shared" si="351"/>
        <v>0</v>
      </c>
      <c r="AC377" s="97">
        <f t="shared" si="351"/>
        <v>0</v>
      </c>
      <c r="AD377" s="97">
        <f t="shared" si="351"/>
        <v>0</v>
      </c>
      <c r="AF377" s="97">
        <f>AF366+AF375</f>
        <v>0</v>
      </c>
      <c r="AH377" s="97">
        <f>AH366+AH375</f>
        <v>0</v>
      </c>
      <c r="AJ377" s="97">
        <f>AJ366+AJ375</f>
        <v>0</v>
      </c>
      <c r="AK377" s="98">
        <f t="shared" si="344"/>
        <v>38603689.240784816</v>
      </c>
      <c r="AL377" s="95" t="str">
        <f t="shared" si="345"/>
        <v>ok</v>
      </c>
    </row>
    <row r="378" spans="1:38" x14ac:dyDescent="0.25">
      <c r="F378" s="97"/>
      <c r="Y378" s="94"/>
      <c r="AK378" s="98"/>
      <c r="AL378" s="95"/>
    </row>
    <row r="379" spans="1:38" x14ac:dyDescent="0.25">
      <c r="A379" s="16" t="s">
        <v>2033</v>
      </c>
      <c r="Y379" s="94"/>
      <c r="AL379" s="95"/>
    </row>
    <row r="380" spans="1:38" x14ac:dyDescent="0.25">
      <c r="A380" s="109">
        <v>535</v>
      </c>
      <c r="B380" s="94" t="s">
        <v>1921</v>
      </c>
      <c r="C380" s="94" t="s">
        <v>2206</v>
      </c>
      <c r="D380" s="94" t="s">
        <v>895</v>
      </c>
      <c r="F380" s="97">
        <f>'Jurisdictional Study'!F1327</f>
        <v>6807.4452051664412</v>
      </c>
      <c r="H380" s="98">
        <f t="shared" ref="H380:H385" si="352">IF(VLOOKUP($D380,$C$5:$AJ$646,6,)=0,0,((VLOOKUP($D380,$C$5:$AJ$646,6,)/VLOOKUP($D380,$C$5:$AJ$646,4,))*$F380))</f>
        <v>2338.6738190040423</v>
      </c>
      <c r="I380" s="98">
        <f t="shared" ref="I380:I385" si="353">IF(VLOOKUP($D380,$C$5:$AJ$646,7,)=0,0,((VLOOKUP($D380,$C$5:$AJ$646,7,)/VLOOKUP($D380,$C$5:$AJ$646,4,))*$F380))</f>
        <v>2204.6157705083215</v>
      </c>
      <c r="J380" s="98">
        <f t="shared" ref="J380:J385" si="354">IF(VLOOKUP($D380,$C$5:$AJ$646,8,)=0,0,((VLOOKUP($D380,$C$5:$AJ$646,8,)/VLOOKUP($D380,$C$5:$AJ$646,4,))*$F380))</f>
        <v>2264.1556156540773</v>
      </c>
      <c r="K380" s="98">
        <f t="shared" ref="K380:K385" si="355">IF(VLOOKUP($D380,$C$5:$AJ$646,9,)=0,0,((VLOOKUP($D380,$C$5:$AJ$646,9,)/VLOOKUP($D380,$C$5:$AJ$646,4,))*$F380))</f>
        <v>0</v>
      </c>
      <c r="L380" s="98">
        <f t="shared" ref="L380:L385" si="356">IF(VLOOKUP($D380,$C$5:$AJ$646,10,)=0,0,((VLOOKUP($D380,$C$5:$AJ$646,10,)/VLOOKUP($D380,$C$5:$AJ$646,4,))*$F380))</f>
        <v>0</v>
      </c>
      <c r="M380" s="98">
        <f t="shared" ref="M380:M385" si="357">IF(VLOOKUP($D380,$C$5:$AJ$646,11,)=0,0,((VLOOKUP($D380,$C$5:$AJ$646,11,)/VLOOKUP($D380,$C$5:$AJ$646,4,))*$F380))</f>
        <v>0</v>
      </c>
      <c r="N380" s="98"/>
      <c r="O380" s="98">
        <f t="shared" ref="O380:O385" si="358">IF(VLOOKUP($D380,$C$5:$AJ$646,13,)=0,0,((VLOOKUP($D380,$C$5:$AJ$646,13,)/VLOOKUP($D380,$C$5:$AJ$646,4,))*$F380))</f>
        <v>0</v>
      </c>
      <c r="P380" s="98">
        <f t="shared" ref="P380:P385" si="359">IF(VLOOKUP($D380,$C$5:$AJ$646,14,)=0,0,((VLOOKUP($D380,$C$5:$AJ$646,14,)/VLOOKUP($D380,$C$5:$AJ$646,4,))*$F380))</f>
        <v>0</v>
      </c>
      <c r="Q380" s="98">
        <f t="shared" ref="Q380:Q385" si="360">IF(VLOOKUP($D380,$C$5:$AJ$646,15,)=0,0,((VLOOKUP($D380,$C$5:$AJ$646,15,)/VLOOKUP($D380,$C$5:$AJ$646,4,))*$F380))</f>
        <v>0</v>
      </c>
      <c r="R380" s="98"/>
      <c r="S380" s="98">
        <f t="shared" ref="S380:S385" si="361">IF(VLOOKUP($D380,$C$5:$AJ$646,17,)=0,0,((VLOOKUP($D380,$C$5:$AJ$646,17,)/VLOOKUP($D380,$C$5:$AJ$646,4,))*$F380))</f>
        <v>0</v>
      </c>
      <c r="T380" s="98">
        <f t="shared" ref="T380:T385" si="362">IF(VLOOKUP($D380,$C$5:$AJ$646,18,)=0,0,((VLOOKUP($D380,$C$5:$AJ$646,18,)/VLOOKUP($D380,$C$5:$AJ$646,4,))*$F380))</f>
        <v>0</v>
      </c>
      <c r="U380" s="98">
        <f t="shared" ref="U380:U385" si="363">IF(VLOOKUP($D380,$C$5:$AJ$646,19,)=0,0,((VLOOKUP($D380,$C$5:$AJ$646,19,)/VLOOKUP($D380,$C$5:$AJ$646,4,))*$F380))</f>
        <v>0</v>
      </c>
      <c r="V380" s="98">
        <f t="shared" ref="V380:V385" si="364">IF(VLOOKUP($D380,$C$5:$AJ$646,20,)=0,0,((VLOOKUP($D380,$C$5:$AJ$646,20,)/VLOOKUP($D380,$C$5:$AJ$646,4,))*$F380))</f>
        <v>0</v>
      </c>
      <c r="W380" s="98">
        <f t="shared" ref="W380:W385" si="365">IF(VLOOKUP($D380,$C$5:$AJ$646,21,)=0,0,((VLOOKUP($D380,$C$5:$AJ$646,21,)/VLOOKUP($D380,$C$5:$AJ$646,4,))*$F380))</f>
        <v>0</v>
      </c>
      <c r="X380" s="98">
        <f t="shared" ref="X380:X385" si="366">IF(VLOOKUP($D380,$C$5:$AJ$646,22,)=0,0,((VLOOKUP($D380,$C$5:$AJ$646,22,)/VLOOKUP($D380,$C$5:$AJ$646,4,))*$F380))</f>
        <v>0</v>
      </c>
      <c r="Y380" s="98">
        <f t="shared" ref="Y380:Y385" si="367">IF(VLOOKUP($D380,$C$5:$AJ$646,23,)=0,0,((VLOOKUP($D380,$C$5:$AJ$646,23,)/VLOOKUP($D380,$C$5:$AJ$646,4,))*$F380))</f>
        <v>0</v>
      </c>
      <c r="Z380" s="98">
        <f t="shared" ref="Z380:Z385" si="368">IF(VLOOKUP($D380,$C$5:$AJ$646,24,)=0,0,((VLOOKUP($D380,$C$5:$AJ$646,24,)/VLOOKUP($D380,$C$5:$AJ$646,4,))*$F380))</f>
        <v>0</v>
      </c>
      <c r="AA380" s="98">
        <f t="shared" ref="AA380:AA385" si="369">IF(VLOOKUP($D380,$C$5:$AJ$646,25,)=0,0,((VLOOKUP($D380,$C$5:$AJ$646,25,)/VLOOKUP($D380,$C$5:$AJ$646,4,))*$F380))</f>
        <v>0</v>
      </c>
      <c r="AB380" s="98">
        <f t="shared" ref="AB380:AB385" si="370">IF(VLOOKUP($D380,$C$5:$AJ$646,26,)=0,0,((VLOOKUP($D380,$C$5:$AJ$646,26,)/VLOOKUP($D380,$C$5:$AJ$646,4,))*$F380))</f>
        <v>0</v>
      </c>
      <c r="AC380" s="98">
        <f t="shared" ref="AC380:AC385" si="371">IF(VLOOKUP($D380,$C$5:$AJ$646,27,)=0,0,((VLOOKUP($D380,$C$5:$AJ$646,27,)/VLOOKUP($D380,$C$5:$AJ$646,4,))*$F380))</f>
        <v>0</v>
      </c>
      <c r="AD380" s="98">
        <f t="shared" ref="AD380:AD385" si="372">IF(VLOOKUP($D380,$C$5:$AJ$646,28,)=0,0,((VLOOKUP($D380,$C$5:$AJ$646,28,)/VLOOKUP($D380,$C$5:$AJ$646,4,))*$F380))</f>
        <v>0</v>
      </c>
      <c r="AE380" s="98"/>
      <c r="AF380" s="98">
        <f t="shared" ref="AF380:AF385" si="373">IF(VLOOKUP($D380,$C$5:$AJ$646,30,)=0,0,((VLOOKUP($D380,$C$5:$AJ$646,30,)/VLOOKUP($D380,$C$5:$AJ$646,4,))*$F380))</f>
        <v>0</v>
      </c>
      <c r="AG380" s="98"/>
      <c r="AH380" s="98">
        <f t="shared" ref="AH380:AH385" si="374">IF(VLOOKUP($D380,$C$5:$AJ$646,32,)=0,0,((VLOOKUP($D380,$C$5:$AJ$646,32,)/VLOOKUP($D380,$C$5:$AJ$646,4,))*$F380))</f>
        <v>0</v>
      </c>
      <c r="AI380" s="98"/>
      <c r="AJ380" s="98">
        <f t="shared" ref="AJ380:AJ385" si="375">IF(VLOOKUP($D380,$C$5:$AJ$646,34,)=0,0,((VLOOKUP($D380,$C$5:$AJ$646,34,)/VLOOKUP($D380,$C$5:$AJ$646,4,))*$F380))</f>
        <v>0</v>
      </c>
      <c r="AK380" s="98">
        <f t="shared" ref="AK380:AK385" si="376">SUM(H380:AJ380)</f>
        <v>6807.4452051664412</v>
      </c>
      <c r="AL380" s="95" t="str">
        <f t="shared" ref="AL380:AL385" si="377">IF(ABS(AK380-F380)&lt;1,"ok","err")</f>
        <v>ok</v>
      </c>
    </row>
    <row r="381" spans="1:38" x14ac:dyDescent="0.25">
      <c r="A381" s="110">
        <v>536</v>
      </c>
      <c r="B381" s="94" t="s">
        <v>2040</v>
      </c>
      <c r="C381" s="94" t="s">
        <v>2207</v>
      </c>
      <c r="D381" s="94" t="s">
        <v>885</v>
      </c>
      <c r="F381" s="98">
        <v>0</v>
      </c>
      <c r="H381" s="98">
        <f t="shared" si="352"/>
        <v>0</v>
      </c>
      <c r="I381" s="98">
        <f t="shared" si="353"/>
        <v>0</v>
      </c>
      <c r="J381" s="98">
        <f t="shared" si="354"/>
        <v>0</v>
      </c>
      <c r="K381" s="98">
        <f t="shared" si="355"/>
        <v>0</v>
      </c>
      <c r="L381" s="98">
        <f t="shared" si="356"/>
        <v>0</v>
      </c>
      <c r="M381" s="98">
        <f t="shared" si="357"/>
        <v>0</v>
      </c>
      <c r="N381" s="98"/>
      <c r="O381" s="98">
        <f t="shared" si="358"/>
        <v>0</v>
      </c>
      <c r="P381" s="98">
        <f t="shared" si="359"/>
        <v>0</v>
      </c>
      <c r="Q381" s="98">
        <f t="shared" si="360"/>
        <v>0</v>
      </c>
      <c r="R381" s="98"/>
      <c r="S381" s="98">
        <f t="shared" si="361"/>
        <v>0</v>
      </c>
      <c r="T381" s="98">
        <f t="shared" si="362"/>
        <v>0</v>
      </c>
      <c r="U381" s="98">
        <f t="shared" si="363"/>
        <v>0</v>
      </c>
      <c r="V381" s="98">
        <f t="shared" si="364"/>
        <v>0</v>
      </c>
      <c r="W381" s="98">
        <f t="shared" si="365"/>
        <v>0</v>
      </c>
      <c r="X381" s="98">
        <f t="shared" si="366"/>
        <v>0</v>
      </c>
      <c r="Y381" s="98">
        <f t="shared" si="367"/>
        <v>0</v>
      </c>
      <c r="Z381" s="98">
        <f t="shared" si="368"/>
        <v>0</v>
      </c>
      <c r="AA381" s="98">
        <f t="shared" si="369"/>
        <v>0</v>
      </c>
      <c r="AB381" s="98">
        <f t="shared" si="370"/>
        <v>0</v>
      </c>
      <c r="AC381" s="98">
        <f t="shared" si="371"/>
        <v>0</v>
      </c>
      <c r="AD381" s="98">
        <f t="shared" si="372"/>
        <v>0</v>
      </c>
      <c r="AE381" s="98"/>
      <c r="AF381" s="98">
        <f t="shared" si="373"/>
        <v>0</v>
      </c>
      <c r="AG381" s="98"/>
      <c r="AH381" s="98">
        <f t="shared" si="374"/>
        <v>0</v>
      </c>
      <c r="AI381" s="98"/>
      <c r="AJ381" s="98">
        <f t="shared" si="375"/>
        <v>0</v>
      </c>
      <c r="AK381" s="98">
        <f t="shared" si="376"/>
        <v>0</v>
      </c>
      <c r="AL381" s="95" t="str">
        <f t="shared" si="377"/>
        <v>ok</v>
      </c>
    </row>
    <row r="382" spans="1:38" x14ac:dyDescent="0.25">
      <c r="A382" s="94">
        <v>537</v>
      </c>
      <c r="B382" s="94" t="s">
        <v>2039</v>
      </c>
      <c r="C382" s="94" t="s">
        <v>2208</v>
      </c>
      <c r="D382" s="94" t="s">
        <v>885</v>
      </c>
      <c r="F382" s="98">
        <v>0</v>
      </c>
      <c r="H382" s="98">
        <f t="shared" si="352"/>
        <v>0</v>
      </c>
      <c r="I382" s="98">
        <f t="shared" si="353"/>
        <v>0</v>
      </c>
      <c r="J382" s="98">
        <f t="shared" si="354"/>
        <v>0</v>
      </c>
      <c r="K382" s="98">
        <f t="shared" si="355"/>
        <v>0</v>
      </c>
      <c r="L382" s="98">
        <f t="shared" si="356"/>
        <v>0</v>
      </c>
      <c r="M382" s="98">
        <f t="shared" si="357"/>
        <v>0</v>
      </c>
      <c r="N382" s="98"/>
      <c r="O382" s="98">
        <f t="shared" si="358"/>
        <v>0</v>
      </c>
      <c r="P382" s="98">
        <f t="shared" si="359"/>
        <v>0</v>
      </c>
      <c r="Q382" s="98">
        <f t="shared" si="360"/>
        <v>0</v>
      </c>
      <c r="R382" s="98"/>
      <c r="S382" s="98">
        <f t="shared" si="361"/>
        <v>0</v>
      </c>
      <c r="T382" s="98">
        <f t="shared" si="362"/>
        <v>0</v>
      </c>
      <c r="U382" s="98">
        <f t="shared" si="363"/>
        <v>0</v>
      </c>
      <c r="V382" s="98">
        <f t="shared" si="364"/>
        <v>0</v>
      </c>
      <c r="W382" s="98">
        <f t="shared" si="365"/>
        <v>0</v>
      </c>
      <c r="X382" s="98">
        <f t="shared" si="366"/>
        <v>0</v>
      </c>
      <c r="Y382" s="98">
        <f t="shared" si="367"/>
        <v>0</v>
      </c>
      <c r="Z382" s="98">
        <f t="shared" si="368"/>
        <v>0</v>
      </c>
      <c r="AA382" s="98">
        <f t="shared" si="369"/>
        <v>0</v>
      </c>
      <c r="AB382" s="98">
        <f t="shared" si="370"/>
        <v>0</v>
      </c>
      <c r="AC382" s="98">
        <f t="shared" si="371"/>
        <v>0</v>
      </c>
      <c r="AD382" s="98">
        <f t="shared" si="372"/>
        <v>0</v>
      </c>
      <c r="AE382" s="98"/>
      <c r="AF382" s="98">
        <f t="shared" si="373"/>
        <v>0</v>
      </c>
      <c r="AG382" s="98"/>
      <c r="AH382" s="98">
        <f t="shared" si="374"/>
        <v>0</v>
      </c>
      <c r="AI382" s="98"/>
      <c r="AJ382" s="98">
        <f t="shared" si="375"/>
        <v>0</v>
      </c>
      <c r="AK382" s="98">
        <f t="shared" si="376"/>
        <v>0</v>
      </c>
      <c r="AL382" s="95" t="str">
        <f t="shared" si="377"/>
        <v>ok</v>
      </c>
    </row>
    <row r="383" spans="1:38" x14ac:dyDescent="0.25">
      <c r="A383" s="108">
        <v>538</v>
      </c>
      <c r="B383" s="94" t="s">
        <v>1927</v>
      </c>
      <c r="C383" s="94" t="s">
        <v>2209</v>
      </c>
      <c r="D383" s="94" t="s">
        <v>885</v>
      </c>
      <c r="F383" s="98">
        <f>'Jurisdictional Study'!F1328</f>
        <v>0</v>
      </c>
      <c r="H383" s="98">
        <f t="shared" si="352"/>
        <v>0</v>
      </c>
      <c r="I383" s="98">
        <f t="shared" si="353"/>
        <v>0</v>
      </c>
      <c r="J383" s="98">
        <f t="shared" si="354"/>
        <v>0</v>
      </c>
      <c r="K383" s="98">
        <f t="shared" si="355"/>
        <v>0</v>
      </c>
      <c r="L383" s="98">
        <f t="shared" si="356"/>
        <v>0</v>
      </c>
      <c r="M383" s="98">
        <f t="shared" si="357"/>
        <v>0</v>
      </c>
      <c r="N383" s="98"/>
      <c r="O383" s="98">
        <f t="shared" si="358"/>
        <v>0</v>
      </c>
      <c r="P383" s="98">
        <f t="shared" si="359"/>
        <v>0</v>
      </c>
      <c r="Q383" s="98">
        <f t="shared" si="360"/>
        <v>0</v>
      </c>
      <c r="R383" s="98"/>
      <c r="S383" s="98">
        <f t="shared" si="361"/>
        <v>0</v>
      </c>
      <c r="T383" s="98">
        <f t="shared" si="362"/>
        <v>0</v>
      </c>
      <c r="U383" s="98">
        <f t="shared" si="363"/>
        <v>0</v>
      </c>
      <c r="V383" s="98">
        <f t="shared" si="364"/>
        <v>0</v>
      </c>
      <c r="W383" s="98">
        <f t="shared" si="365"/>
        <v>0</v>
      </c>
      <c r="X383" s="98">
        <f t="shared" si="366"/>
        <v>0</v>
      </c>
      <c r="Y383" s="98">
        <f t="shared" si="367"/>
        <v>0</v>
      </c>
      <c r="Z383" s="98">
        <f t="shared" si="368"/>
        <v>0</v>
      </c>
      <c r="AA383" s="98">
        <f t="shared" si="369"/>
        <v>0</v>
      </c>
      <c r="AB383" s="98">
        <f t="shared" si="370"/>
        <v>0</v>
      </c>
      <c r="AC383" s="98">
        <f t="shared" si="371"/>
        <v>0</v>
      </c>
      <c r="AD383" s="98">
        <f t="shared" si="372"/>
        <v>0</v>
      </c>
      <c r="AE383" s="98"/>
      <c r="AF383" s="98">
        <f t="shared" si="373"/>
        <v>0</v>
      </c>
      <c r="AG383" s="98"/>
      <c r="AH383" s="98">
        <f t="shared" si="374"/>
        <v>0</v>
      </c>
      <c r="AI383" s="98"/>
      <c r="AJ383" s="98">
        <f t="shared" si="375"/>
        <v>0</v>
      </c>
      <c r="AK383" s="98">
        <f t="shared" si="376"/>
        <v>0</v>
      </c>
      <c r="AL383" s="95" t="str">
        <f t="shared" si="377"/>
        <v>ok</v>
      </c>
    </row>
    <row r="384" spans="1:38" x14ac:dyDescent="0.25">
      <c r="A384" s="94">
        <v>539</v>
      </c>
      <c r="B384" s="94" t="s">
        <v>823</v>
      </c>
      <c r="C384" s="94" t="s">
        <v>2210</v>
      </c>
      <c r="D384" s="94" t="s">
        <v>885</v>
      </c>
      <c r="F384" s="98">
        <f>'Jurisdictional Study'!F1329</f>
        <v>4594.7000934119114</v>
      </c>
      <c r="H384" s="98">
        <f t="shared" si="352"/>
        <v>1578.4930309072006</v>
      </c>
      <c r="I384" s="98">
        <f t="shared" si="353"/>
        <v>1488.0102566237683</v>
      </c>
      <c r="J384" s="98">
        <f t="shared" si="354"/>
        <v>1528.1968058809425</v>
      </c>
      <c r="K384" s="98">
        <f t="shared" si="355"/>
        <v>0</v>
      </c>
      <c r="L384" s="98">
        <f t="shared" si="356"/>
        <v>0</v>
      </c>
      <c r="M384" s="98">
        <f t="shared" si="357"/>
        <v>0</v>
      </c>
      <c r="N384" s="98"/>
      <c r="O384" s="98">
        <f t="shared" si="358"/>
        <v>0</v>
      </c>
      <c r="P384" s="98">
        <f t="shared" si="359"/>
        <v>0</v>
      </c>
      <c r="Q384" s="98">
        <f t="shared" si="360"/>
        <v>0</v>
      </c>
      <c r="R384" s="98"/>
      <c r="S384" s="98">
        <f t="shared" si="361"/>
        <v>0</v>
      </c>
      <c r="T384" s="98">
        <f t="shared" si="362"/>
        <v>0</v>
      </c>
      <c r="U384" s="98">
        <f t="shared" si="363"/>
        <v>0</v>
      </c>
      <c r="V384" s="98">
        <f t="shared" si="364"/>
        <v>0</v>
      </c>
      <c r="W384" s="98">
        <f t="shared" si="365"/>
        <v>0</v>
      </c>
      <c r="X384" s="98">
        <f t="shared" si="366"/>
        <v>0</v>
      </c>
      <c r="Y384" s="98">
        <f t="shared" si="367"/>
        <v>0</v>
      </c>
      <c r="Z384" s="98">
        <f t="shared" si="368"/>
        <v>0</v>
      </c>
      <c r="AA384" s="98">
        <f t="shared" si="369"/>
        <v>0</v>
      </c>
      <c r="AB384" s="98">
        <f t="shared" si="370"/>
        <v>0</v>
      </c>
      <c r="AC384" s="98">
        <f t="shared" si="371"/>
        <v>0</v>
      </c>
      <c r="AD384" s="98">
        <f t="shared" si="372"/>
        <v>0</v>
      </c>
      <c r="AE384" s="98"/>
      <c r="AF384" s="98">
        <f t="shared" si="373"/>
        <v>0</v>
      </c>
      <c r="AG384" s="98"/>
      <c r="AH384" s="98">
        <f t="shared" si="374"/>
        <v>0</v>
      </c>
      <c r="AI384" s="98"/>
      <c r="AJ384" s="98">
        <f t="shared" si="375"/>
        <v>0</v>
      </c>
      <c r="AK384" s="98">
        <f t="shared" si="376"/>
        <v>4594.7000934119114</v>
      </c>
      <c r="AL384" s="95" t="str">
        <f t="shared" si="377"/>
        <v>ok</v>
      </c>
    </row>
    <row r="385" spans="1:38" x14ac:dyDescent="0.25">
      <c r="A385" s="108">
        <v>540</v>
      </c>
      <c r="B385" s="94" t="s">
        <v>455</v>
      </c>
      <c r="C385" s="94" t="s">
        <v>2211</v>
      </c>
      <c r="D385" s="94" t="s">
        <v>885</v>
      </c>
      <c r="F385" s="98">
        <v>0</v>
      </c>
      <c r="H385" s="98">
        <f t="shared" si="352"/>
        <v>0</v>
      </c>
      <c r="I385" s="98">
        <f t="shared" si="353"/>
        <v>0</v>
      </c>
      <c r="J385" s="98">
        <f t="shared" si="354"/>
        <v>0</v>
      </c>
      <c r="K385" s="98">
        <f t="shared" si="355"/>
        <v>0</v>
      </c>
      <c r="L385" s="98">
        <f t="shared" si="356"/>
        <v>0</v>
      </c>
      <c r="M385" s="98">
        <f t="shared" si="357"/>
        <v>0</v>
      </c>
      <c r="N385" s="98"/>
      <c r="O385" s="98">
        <f t="shared" si="358"/>
        <v>0</v>
      </c>
      <c r="P385" s="98">
        <f t="shared" si="359"/>
        <v>0</v>
      </c>
      <c r="Q385" s="98">
        <f t="shared" si="360"/>
        <v>0</v>
      </c>
      <c r="R385" s="98"/>
      <c r="S385" s="98">
        <f t="shared" si="361"/>
        <v>0</v>
      </c>
      <c r="T385" s="98">
        <f t="shared" si="362"/>
        <v>0</v>
      </c>
      <c r="U385" s="98">
        <f t="shared" si="363"/>
        <v>0</v>
      </c>
      <c r="V385" s="98">
        <f t="shared" si="364"/>
        <v>0</v>
      </c>
      <c r="W385" s="98">
        <f t="shared" si="365"/>
        <v>0</v>
      </c>
      <c r="X385" s="98">
        <f t="shared" si="366"/>
        <v>0</v>
      </c>
      <c r="Y385" s="98">
        <f t="shared" si="367"/>
        <v>0</v>
      </c>
      <c r="Z385" s="98">
        <f t="shared" si="368"/>
        <v>0</v>
      </c>
      <c r="AA385" s="98">
        <f t="shared" si="369"/>
        <v>0</v>
      </c>
      <c r="AB385" s="98">
        <f t="shared" si="370"/>
        <v>0</v>
      </c>
      <c r="AC385" s="98">
        <f t="shared" si="371"/>
        <v>0</v>
      </c>
      <c r="AD385" s="98">
        <f t="shared" si="372"/>
        <v>0</v>
      </c>
      <c r="AE385" s="98"/>
      <c r="AF385" s="98">
        <f t="shared" si="373"/>
        <v>0</v>
      </c>
      <c r="AG385" s="98"/>
      <c r="AH385" s="98">
        <f t="shared" si="374"/>
        <v>0</v>
      </c>
      <c r="AI385" s="98"/>
      <c r="AJ385" s="98">
        <f t="shared" si="375"/>
        <v>0</v>
      </c>
      <c r="AK385" s="98">
        <f t="shared" si="376"/>
        <v>0</v>
      </c>
      <c r="AL385" s="95" t="str">
        <f t="shared" si="377"/>
        <v>ok</v>
      </c>
    </row>
    <row r="386" spans="1:38" x14ac:dyDescent="0.25">
      <c r="F386" s="97"/>
      <c r="Y386" s="94"/>
      <c r="AK386" s="98"/>
      <c r="AL386" s="95"/>
    </row>
    <row r="387" spans="1:38" x14ac:dyDescent="0.25">
      <c r="B387" s="94" t="s">
        <v>2036</v>
      </c>
      <c r="C387" s="94" t="s">
        <v>886</v>
      </c>
      <c r="F387" s="97">
        <f>SUM(F380:F386)</f>
        <v>11402.145298578353</v>
      </c>
      <c r="H387" s="97">
        <f t="shared" ref="H387:M387" si="378">SUM(H380:H386)</f>
        <v>3917.1668499112429</v>
      </c>
      <c r="I387" s="97">
        <f t="shared" si="378"/>
        <v>3692.6260271320898</v>
      </c>
      <c r="J387" s="97">
        <f t="shared" si="378"/>
        <v>3792.3524215350199</v>
      </c>
      <c r="K387" s="97">
        <f t="shared" si="378"/>
        <v>0</v>
      </c>
      <c r="L387" s="97">
        <f t="shared" si="378"/>
        <v>0</v>
      </c>
      <c r="M387" s="97">
        <f t="shared" si="378"/>
        <v>0</v>
      </c>
      <c r="O387" s="97">
        <f>SUM(O380:O386)</f>
        <v>0</v>
      </c>
      <c r="P387" s="97">
        <f>SUM(P380:P386)</f>
        <v>0</v>
      </c>
      <c r="Q387" s="97">
        <f>SUM(Q380:Q386)</f>
        <v>0</v>
      </c>
      <c r="S387" s="97">
        <f t="shared" ref="S387:AD387" si="379">SUM(S380:S386)</f>
        <v>0</v>
      </c>
      <c r="T387" s="97">
        <f t="shared" si="379"/>
        <v>0</v>
      </c>
      <c r="U387" s="97">
        <f t="shared" si="379"/>
        <v>0</v>
      </c>
      <c r="V387" s="97">
        <f t="shared" si="379"/>
        <v>0</v>
      </c>
      <c r="W387" s="97">
        <f t="shared" si="379"/>
        <v>0</v>
      </c>
      <c r="X387" s="97">
        <f t="shared" si="379"/>
        <v>0</v>
      </c>
      <c r="Y387" s="97">
        <f t="shared" si="379"/>
        <v>0</v>
      </c>
      <c r="Z387" s="97">
        <f t="shared" si="379"/>
        <v>0</v>
      </c>
      <c r="AA387" s="97">
        <f t="shared" si="379"/>
        <v>0</v>
      </c>
      <c r="AB387" s="97">
        <f t="shared" si="379"/>
        <v>0</v>
      </c>
      <c r="AC387" s="97">
        <f t="shared" si="379"/>
        <v>0</v>
      </c>
      <c r="AD387" s="97">
        <f t="shared" si="379"/>
        <v>0</v>
      </c>
      <c r="AF387" s="97">
        <f>SUM(AF380:AF386)</f>
        <v>0</v>
      </c>
      <c r="AH387" s="97">
        <f>SUM(AH380:AH386)</f>
        <v>0</v>
      </c>
      <c r="AJ387" s="97">
        <f>SUM(AJ380:AJ386)</f>
        <v>0</v>
      </c>
      <c r="AK387" s="98">
        <f>SUM(H387:AJ387)</f>
        <v>11402.145298578353</v>
      </c>
      <c r="AL387" s="95" t="str">
        <f>IF(ABS(AK387-F387)&lt;1,"ok","err")</f>
        <v>ok</v>
      </c>
    </row>
    <row r="388" spans="1:38" x14ac:dyDescent="0.25">
      <c r="F388" s="97"/>
      <c r="Y388" s="94"/>
      <c r="AL388" s="95"/>
    </row>
    <row r="389" spans="1:38" x14ac:dyDescent="0.25">
      <c r="A389" s="16" t="s">
        <v>2034</v>
      </c>
      <c r="F389" s="97"/>
      <c r="Y389" s="94"/>
      <c r="AL389" s="95"/>
    </row>
    <row r="390" spans="1:38" x14ac:dyDescent="0.25">
      <c r="A390" s="109">
        <v>541</v>
      </c>
      <c r="B390" s="94" t="s">
        <v>726</v>
      </c>
      <c r="C390" s="94" t="s">
        <v>2212</v>
      </c>
      <c r="D390" s="94" t="s">
        <v>896</v>
      </c>
      <c r="F390" s="97">
        <f>'Jurisdictional Study'!F1330</f>
        <v>93175.878462429348</v>
      </c>
      <c r="H390" s="98">
        <f>IF(VLOOKUP($D390,$C$5:$AJ$646,6,)=0,0,((VLOOKUP($D390,$C$5:$AJ$646,6,)/VLOOKUP($D390,$C$5:$AJ$646,4,))*$F390))</f>
        <v>9061.98585999649</v>
      </c>
      <c r="I390" s="98">
        <f>IF(VLOOKUP($D390,$C$5:$AJ$646,7,)=0,0,((VLOOKUP($D390,$C$5:$AJ$646,7,)/VLOOKUP($D390,$C$5:$AJ$646,4,))*$F390))</f>
        <v>8542.5324287333406</v>
      </c>
      <c r="J390" s="98">
        <f>IF(VLOOKUP($D390,$C$5:$AJ$646,8,)=0,0,((VLOOKUP($D390,$C$5:$AJ$646,8,)/VLOOKUP($D390,$C$5:$AJ$646,4,))*$F390))</f>
        <v>8773.2397768179017</v>
      </c>
      <c r="K390" s="98">
        <f>IF(VLOOKUP($D390,$C$5:$AJ$646,9,)=0,0,((VLOOKUP($D390,$C$5:$AJ$646,9,)/VLOOKUP($D390,$C$5:$AJ$646,4,))*$F390))</f>
        <v>66798.120396881612</v>
      </c>
      <c r="L390" s="98">
        <f>IF(VLOOKUP($D390,$C$5:$AJ$646,10,)=0,0,((VLOOKUP($D390,$C$5:$AJ$646,10,)/VLOOKUP($D390,$C$5:$AJ$646,4,))*$F390))</f>
        <v>0</v>
      </c>
      <c r="M390" s="98">
        <f>IF(VLOOKUP($D390,$C$5:$AJ$646,11,)=0,0,((VLOOKUP($D390,$C$5:$AJ$646,11,)/VLOOKUP($D390,$C$5:$AJ$646,4,))*$F390))</f>
        <v>0</v>
      </c>
      <c r="N390" s="98"/>
      <c r="O390" s="98">
        <f>IF(VLOOKUP($D390,$C$5:$AJ$646,13,)=0,0,((VLOOKUP($D390,$C$5:$AJ$646,13,)/VLOOKUP($D390,$C$5:$AJ$646,4,))*$F390))</f>
        <v>0</v>
      </c>
      <c r="P390" s="98">
        <f>IF(VLOOKUP($D390,$C$5:$AJ$646,14,)=0,0,((VLOOKUP($D390,$C$5:$AJ$646,14,)/VLOOKUP($D390,$C$5:$AJ$646,4,))*$F390))</f>
        <v>0</v>
      </c>
      <c r="Q390" s="98">
        <f>IF(VLOOKUP($D390,$C$5:$AJ$646,15,)=0,0,((VLOOKUP($D390,$C$5:$AJ$646,15,)/VLOOKUP($D390,$C$5:$AJ$646,4,))*$F390))</f>
        <v>0</v>
      </c>
      <c r="R390" s="98"/>
      <c r="S390" s="98">
        <f>IF(VLOOKUP($D390,$C$5:$AJ$646,17,)=0,0,((VLOOKUP($D390,$C$5:$AJ$646,17,)/VLOOKUP($D390,$C$5:$AJ$646,4,))*$F390))</f>
        <v>0</v>
      </c>
      <c r="T390" s="98">
        <f>IF(VLOOKUP($D390,$C$5:$AJ$646,18,)=0,0,((VLOOKUP($D390,$C$5:$AJ$646,18,)/VLOOKUP($D390,$C$5:$AJ$646,4,))*$F390))</f>
        <v>0</v>
      </c>
      <c r="U390" s="98">
        <f>IF(VLOOKUP($D390,$C$5:$AJ$646,19,)=0,0,((VLOOKUP($D390,$C$5:$AJ$646,19,)/VLOOKUP($D390,$C$5:$AJ$646,4,))*$F390))</f>
        <v>0</v>
      </c>
      <c r="V390" s="98">
        <f>IF(VLOOKUP($D390,$C$5:$AJ$646,20,)=0,0,((VLOOKUP($D390,$C$5:$AJ$646,20,)/VLOOKUP($D390,$C$5:$AJ$646,4,))*$F390))</f>
        <v>0</v>
      </c>
      <c r="W390" s="98">
        <f>IF(VLOOKUP($D390,$C$5:$AJ$646,21,)=0,0,((VLOOKUP($D390,$C$5:$AJ$646,21,)/VLOOKUP($D390,$C$5:$AJ$646,4,))*$F390))</f>
        <v>0</v>
      </c>
      <c r="X390" s="98">
        <f>IF(VLOOKUP($D390,$C$5:$AJ$646,22,)=0,0,((VLOOKUP($D390,$C$5:$AJ$646,22,)/VLOOKUP($D390,$C$5:$AJ$646,4,))*$F390))</f>
        <v>0</v>
      </c>
      <c r="Y390" s="98">
        <f>IF(VLOOKUP($D390,$C$5:$AJ$646,23,)=0,0,((VLOOKUP($D390,$C$5:$AJ$646,23,)/VLOOKUP($D390,$C$5:$AJ$646,4,))*$F390))</f>
        <v>0</v>
      </c>
      <c r="Z390" s="98">
        <f>IF(VLOOKUP($D390,$C$5:$AJ$646,24,)=0,0,((VLOOKUP($D390,$C$5:$AJ$646,24,)/VLOOKUP($D390,$C$5:$AJ$646,4,))*$F390))</f>
        <v>0</v>
      </c>
      <c r="AA390" s="98">
        <f>IF(VLOOKUP($D390,$C$5:$AJ$646,25,)=0,0,((VLOOKUP($D390,$C$5:$AJ$646,25,)/VLOOKUP($D390,$C$5:$AJ$646,4,))*$F390))</f>
        <v>0</v>
      </c>
      <c r="AB390" s="98">
        <f>IF(VLOOKUP($D390,$C$5:$AJ$646,26,)=0,0,((VLOOKUP($D390,$C$5:$AJ$646,26,)/VLOOKUP($D390,$C$5:$AJ$646,4,))*$F390))</f>
        <v>0</v>
      </c>
      <c r="AC390" s="98">
        <f>IF(VLOOKUP($D390,$C$5:$AJ$646,27,)=0,0,((VLOOKUP($D390,$C$5:$AJ$646,27,)/VLOOKUP($D390,$C$5:$AJ$646,4,))*$F390))</f>
        <v>0</v>
      </c>
      <c r="AD390" s="98">
        <f>IF(VLOOKUP($D390,$C$5:$AJ$646,28,)=0,0,((VLOOKUP($D390,$C$5:$AJ$646,28,)/VLOOKUP($D390,$C$5:$AJ$646,4,))*$F390))</f>
        <v>0</v>
      </c>
      <c r="AE390" s="98"/>
      <c r="AF390" s="98">
        <f>IF(VLOOKUP($D390,$C$5:$AJ$646,30,)=0,0,((VLOOKUP($D390,$C$5:$AJ$646,30,)/VLOOKUP($D390,$C$5:$AJ$646,4,))*$F390))</f>
        <v>0</v>
      </c>
      <c r="AG390" s="98"/>
      <c r="AH390" s="98">
        <f>IF(VLOOKUP($D390,$C$5:$AJ$646,32,)=0,0,((VLOOKUP($D390,$C$5:$AJ$646,32,)/VLOOKUP($D390,$C$5:$AJ$646,4,))*$F390))</f>
        <v>0</v>
      </c>
      <c r="AI390" s="98"/>
      <c r="AJ390" s="98">
        <f>IF(VLOOKUP($D390,$C$5:$AJ$646,34,)=0,0,((VLOOKUP($D390,$C$5:$AJ$646,34,)/VLOOKUP($D390,$C$5:$AJ$646,4,))*$F390))</f>
        <v>0</v>
      </c>
      <c r="AK390" s="98">
        <f>SUM(H390:AJ390)</f>
        <v>93175.878462429333</v>
      </c>
      <c r="AL390" s="95" t="str">
        <f>IF(ABS(AK390-F390)&lt;1,"ok","err")</f>
        <v>ok</v>
      </c>
    </row>
    <row r="391" spans="1:38" x14ac:dyDescent="0.25">
      <c r="A391" s="109">
        <v>542</v>
      </c>
      <c r="B391" s="94" t="s">
        <v>725</v>
      </c>
      <c r="C391" s="94" t="s">
        <v>2213</v>
      </c>
      <c r="D391" s="94" t="s">
        <v>885</v>
      </c>
      <c r="F391" s="98">
        <f>'Jurisdictional Study'!F1331</f>
        <v>19320.157743675409</v>
      </c>
      <c r="H391" s="98">
        <f>IF(VLOOKUP($D391,$C$5:$AJ$646,6,)=0,0,((VLOOKUP($D391,$C$5:$AJ$646,6,)/VLOOKUP($D391,$C$5:$AJ$646,4,))*$F391))</f>
        <v>6637.3721318932239</v>
      </c>
      <c r="I391" s="98">
        <f>IF(VLOOKUP($D391,$C$5:$AJ$646,7,)=0,0,((VLOOKUP($D391,$C$5:$AJ$646,7,)/VLOOKUP($D391,$C$5:$AJ$646,4,))*$F391))</f>
        <v>6256.9030181968055</v>
      </c>
      <c r="J391" s="98">
        <f>IF(VLOOKUP($D391,$C$5:$AJ$646,8,)=0,0,((VLOOKUP($D391,$C$5:$AJ$646,8,)/VLOOKUP($D391,$C$5:$AJ$646,4,))*$F391))</f>
        <v>6425.8825935853793</v>
      </c>
      <c r="K391" s="98">
        <f>IF(VLOOKUP($D391,$C$5:$AJ$646,9,)=0,0,((VLOOKUP($D391,$C$5:$AJ$646,9,)/VLOOKUP($D391,$C$5:$AJ$646,4,))*$F391))</f>
        <v>0</v>
      </c>
      <c r="L391" s="98">
        <f>IF(VLOOKUP($D391,$C$5:$AJ$646,10,)=0,0,((VLOOKUP($D391,$C$5:$AJ$646,10,)/VLOOKUP($D391,$C$5:$AJ$646,4,))*$F391))</f>
        <v>0</v>
      </c>
      <c r="M391" s="98">
        <f>IF(VLOOKUP($D391,$C$5:$AJ$646,11,)=0,0,((VLOOKUP($D391,$C$5:$AJ$646,11,)/VLOOKUP($D391,$C$5:$AJ$646,4,))*$F391))</f>
        <v>0</v>
      </c>
      <c r="N391" s="98"/>
      <c r="O391" s="98">
        <f>IF(VLOOKUP($D391,$C$5:$AJ$646,13,)=0,0,((VLOOKUP($D391,$C$5:$AJ$646,13,)/VLOOKUP($D391,$C$5:$AJ$646,4,))*$F391))</f>
        <v>0</v>
      </c>
      <c r="P391" s="98">
        <f>IF(VLOOKUP($D391,$C$5:$AJ$646,14,)=0,0,((VLOOKUP($D391,$C$5:$AJ$646,14,)/VLOOKUP($D391,$C$5:$AJ$646,4,))*$F391))</f>
        <v>0</v>
      </c>
      <c r="Q391" s="98">
        <f>IF(VLOOKUP($D391,$C$5:$AJ$646,15,)=0,0,((VLOOKUP($D391,$C$5:$AJ$646,15,)/VLOOKUP($D391,$C$5:$AJ$646,4,))*$F391))</f>
        <v>0</v>
      </c>
      <c r="R391" s="98"/>
      <c r="S391" s="98">
        <f>IF(VLOOKUP($D391,$C$5:$AJ$646,17,)=0,0,((VLOOKUP($D391,$C$5:$AJ$646,17,)/VLOOKUP($D391,$C$5:$AJ$646,4,))*$F391))</f>
        <v>0</v>
      </c>
      <c r="T391" s="98">
        <f>IF(VLOOKUP($D391,$C$5:$AJ$646,18,)=0,0,((VLOOKUP($D391,$C$5:$AJ$646,18,)/VLOOKUP($D391,$C$5:$AJ$646,4,))*$F391))</f>
        <v>0</v>
      </c>
      <c r="U391" s="98">
        <f>IF(VLOOKUP($D391,$C$5:$AJ$646,19,)=0,0,((VLOOKUP($D391,$C$5:$AJ$646,19,)/VLOOKUP($D391,$C$5:$AJ$646,4,))*$F391))</f>
        <v>0</v>
      </c>
      <c r="V391" s="98">
        <f>IF(VLOOKUP($D391,$C$5:$AJ$646,20,)=0,0,((VLOOKUP($D391,$C$5:$AJ$646,20,)/VLOOKUP($D391,$C$5:$AJ$646,4,))*$F391))</f>
        <v>0</v>
      </c>
      <c r="W391" s="98">
        <f>IF(VLOOKUP($D391,$C$5:$AJ$646,21,)=0,0,((VLOOKUP($D391,$C$5:$AJ$646,21,)/VLOOKUP($D391,$C$5:$AJ$646,4,))*$F391))</f>
        <v>0</v>
      </c>
      <c r="X391" s="98">
        <f>IF(VLOOKUP($D391,$C$5:$AJ$646,22,)=0,0,((VLOOKUP($D391,$C$5:$AJ$646,22,)/VLOOKUP($D391,$C$5:$AJ$646,4,))*$F391))</f>
        <v>0</v>
      </c>
      <c r="Y391" s="98">
        <f>IF(VLOOKUP($D391,$C$5:$AJ$646,23,)=0,0,((VLOOKUP($D391,$C$5:$AJ$646,23,)/VLOOKUP($D391,$C$5:$AJ$646,4,))*$F391))</f>
        <v>0</v>
      </c>
      <c r="Z391" s="98">
        <f>IF(VLOOKUP($D391,$C$5:$AJ$646,24,)=0,0,((VLOOKUP($D391,$C$5:$AJ$646,24,)/VLOOKUP($D391,$C$5:$AJ$646,4,))*$F391))</f>
        <v>0</v>
      </c>
      <c r="AA391" s="98">
        <f>IF(VLOOKUP($D391,$C$5:$AJ$646,25,)=0,0,((VLOOKUP($D391,$C$5:$AJ$646,25,)/VLOOKUP($D391,$C$5:$AJ$646,4,))*$F391))</f>
        <v>0</v>
      </c>
      <c r="AB391" s="98">
        <f>IF(VLOOKUP($D391,$C$5:$AJ$646,26,)=0,0,((VLOOKUP($D391,$C$5:$AJ$646,26,)/VLOOKUP($D391,$C$5:$AJ$646,4,))*$F391))</f>
        <v>0</v>
      </c>
      <c r="AC391" s="98">
        <f>IF(VLOOKUP($D391,$C$5:$AJ$646,27,)=0,0,((VLOOKUP($D391,$C$5:$AJ$646,27,)/VLOOKUP($D391,$C$5:$AJ$646,4,))*$F391))</f>
        <v>0</v>
      </c>
      <c r="AD391" s="98">
        <f>IF(VLOOKUP($D391,$C$5:$AJ$646,28,)=0,0,((VLOOKUP($D391,$C$5:$AJ$646,28,)/VLOOKUP($D391,$C$5:$AJ$646,4,))*$F391))</f>
        <v>0</v>
      </c>
      <c r="AE391" s="98"/>
      <c r="AF391" s="98">
        <f>IF(VLOOKUP($D391,$C$5:$AJ$646,30,)=0,0,((VLOOKUP($D391,$C$5:$AJ$646,30,)/VLOOKUP($D391,$C$5:$AJ$646,4,))*$F391))</f>
        <v>0</v>
      </c>
      <c r="AG391" s="98"/>
      <c r="AH391" s="98">
        <f>IF(VLOOKUP($D391,$C$5:$AJ$646,32,)=0,0,((VLOOKUP($D391,$C$5:$AJ$646,32,)/VLOOKUP($D391,$C$5:$AJ$646,4,))*$F391))</f>
        <v>0</v>
      </c>
      <c r="AI391" s="98"/>
      <c r="AJ391" s="98">
        <f>IF(VLOOKUP($D391,$C$5:$AJ$646,34,)=0,0,((VLOOKUP($D391,$C$5:$AJ$646,34,)/VLOOKUP($D391,$C$5:$AJ$646,4,))*$F391))</f>
        <v>0</v>
      </c>
      <c r="AK391" s="98">
        <f>SUM(H391:AJ391)</f>
        <v>19320.157743675409</v>
      </c>
      <c r="AL391" s="95" t="str">
        <f>IF(ABS(AK391-F391)&lt;1,"ok","err")</f>
        <v>ok</v>
      </c>
    </row>
    <row r="392" spans="1:38" x14ac:dyDescent="0.25">
      <c r="A392" s="109">
        <v>543</v>
      </c>
      <c r="B392" s="94" t="s">
        <v>2035</v>
      </c>
      <c r="C392" s="94" t="s">
        <v>2214</v>
      </c>
      <c r="D392" s="94" t="s">
        <v>885</v>
      </c>
      <c r="F392" s="98">
        <v>0</v>
      </c>
      <c r="H392" s="98">
        <f>IF(VLOOKUP($D392,$C$5:$AJ$646,6,)=0,0,((VLOOKUP($D392,$C$5:$AJ$646,6,)/VLOOKUP($D392,$C$5:$AJ$646,4,))*$F392))</f>
        <v>0</v>
      </c>
      <c r="I392" s="98">
        <f>IF(VLOOKUP($D392,$C$5:$AJ$646,7,)=0,0,((VLOOKUP($D392,$C$5:$AJ$646,7,)/VLOOKUP($D392,$C$5:$AJ$646,4,))*$F392))</f>
        <v>0</v>
      </c>
      <c r="J392" s="98">
        <f>IF(VLOOKUP($D392,$C$5:$AJ$646,8,)=0,0,((VLOOKUP($D392,$C$5:$AJ$646,8,)/VLOOKUP($D392,$C$5:$AJ$646,4,))*$F392))</f>
        <v>0</v>
      </c>
      <c r="K392" s="98">
        <f>IF(VLOOKUP($D392,$C$5:$AJ$646,9,)=0,0,((VLOOKUP($D392,$C$5:$AJ$646,9,)/VLOOKUP($D392,$C$5:$AJ$646,4,))*$F392))</f>
        <v>0</v>
      </c>
      <c r="L392" s="98">
        <f>IF(VLOOKUP($D392,$C$5:$AJ$646,10,)=0,0,((VLOOKUP($D392,$C$5:$AJ$646,10,)/VLOOKUP($D392,$C$5:$AJ$646,4,))*$F392))</f>
        <v>0</v>
      </c>
      <c r="M392" s="98">
        <f>IF(VLOOKUP($D392,$C$5:$AJ$646,11,)=0,0,((VLOOKUP($D392,$C$5:$AJ$646,11,)/VLOOKUP($D392,$C$5:$AJ$646,4,))*$F392))</f>
        <v>0</v>
      </c>
      <c r="N392" s="98"/>
      <c r="O392" s="98">
        <f>IF(VLOOKUP($D392,$C$5:$AJ$646,13,)=0,0,((VLOOKUP($D392,$C$5:$AJ$646,13,)/VLOOKUP($D392,$C$5:$AJ$646,4,))*$F392))</f>
        <v>0</v>
      </c>
      <c r="P392" s="98">
        <f>IF(VLOOKUP($D392,$C$5:$AJ$646,14,)=0,0,((VLOOKUP($D392,$C$5:$AJ$646,14,)/VLOOKUP($D392,$C$5:$AJ$646,4,))*$F392))</f>
        <v>0</v>
      </c>
      <c r="Q392" s="98">
        <f>IF(VLOOKUP($D392,$C$5:$AJ$646,15,)=0,0,((VLOOKUP($D392,$C$5:$AJ$646,15,)/VLOOKUP($D392,$C$5:$AJ$646,4,))*$F392))</f>
        <v>0</v>
      </c>
      <c r="R392" s="98"/>
      <c r="S392" s="98">
        <f>IF(VLOOKUP($D392,$C$5:$AJ$646,17,)=0,0,((VLOOKUP($D392,$C$5:$AJ$646,17,)/VLOOKUP($D392,$C$5:$AJ$646,4,))*$F392))</f>
        <v>0</v>
      </c>
      <c r="T392" s="98">
        <f>IF(VLOOKUP($D392,$C$5:$AJ$646,18,)=0,0,((VLOOKUP($D392,$C$5:$AJ$646,18,)/VLOOKUP($D392,$C$5:$AJ$646,4,))*$F392))</f>
        <v>0</v>
      </c>
      <c r="U392" s="98">
        <f>IF(VLOOKUP($D392,$C$5:$AJ$646,19,)=0,0,((VLOOKUP($D392,$C$5:$AJ$646,19,)/VLOOKUP($D392,$C$5:$AJ$646,4,))*$F392))</f>
        <v>0</v>
      </c>
      <c r="V392" s="98">
        <f>IF(VLOOKUP($D392,$C$5:$AJ$646,20,)=0,0,((VLOOKUP($D392,$C$5:$AJ$646,20,)/VLOOKUP($D392,$C$5:$AJ$646,4,))*$F392))</f>
        <v>0</v>
      </c>
      <c r="W392" s="98">
        <f>IF(VLOOKUP($D392,$C$5:$AJ$646,21,)=0,0,((VLOOKUP($D392,$C$5:$AJ$646,21,)/VLOOKUP($D392,$C$5:$AJ$646,4,))*$F392))</f>
        <v>0</v>
      </c>
      <c r="X392" s="98">
        <f>IF(VLOOKUP($D392,$C$5:$AJ$646,22,)=0,0,((VLOOKUP($D392,$C$5:$AJ$646,22,)/VLOOKUP($D392,$C$5:$AJ$646,4,))*$F392))</f>
        <v>0</v>
      </c>
      <c r="Y392" s="98">
        <f>IF(VLOOKUP($D392,$C$5:$AJ$646,23,)=0,0,((VLOOKUP($D392,$C$5:$AJ$646,23,)/VLOOKUP($D392,$C$5:$AJ$646,4,))*$F392))</f>
        <v>0</v>
      </c>
      <c r="Z392" s="98">
        <f>IF(VLOOKUP($D392,$C$5:$AJ$646,24,)=0,0,((VLOOKUP($D392,$C$5:$AJ$646,24,)/VLOOKUP($D392,$C$5:$AJ$646,4,))*$F392))</f>
        <v>0</v>
      </c>
      <c r="AA392" s="98">
        <f>IF(VLOOKUP($D392,$C$5:$AJ$646,25,)=0,0,((VLOOKUP($D392,$C$5:$AJ$646,25,)/VLOOKUP($D392,$C$5:$AJ$646,4,))*$F392))</f>
        <v>0</v>
      </c>
      <c r="AB392" s="98">
        <f>IF(VLOOKUP($D392,$C$5:$AJ$646,26,)=0,0,((VLOOKUP($D392,$C$5:$AJ$646,26,)/VLOOKUP($D392,$C$5:$AJ$646,4,))*$F392))</f>
        <v>0</v>
      </c>
      <c r="AC392" s="98">
        <f>IF(VLOOKUP($D392,$C$5:$AJ$646,27,)=0,0,((VLOOKUP($D392,$C$5:$AJ$646,27,)/VLOOKUP($D392,$C$5:$AJ$646,4,))*$F392))</f>
        <v>0</v>
      </c>
      <c r="AD392" s="98">
        <f>IF(VLOOKUP($D392,$C$5:$AJ$646,28,)=0,0,((VLOOKUP($D392,$C$5:$AJ$646,28,)/VLOOKUP($D392,$C$5:$AJ$646,4,))*$F392))</f>
        <v>0</v>
      </c>
      <c r="AE392" s="98"/>
      <c r="AF392" s="98">
        <f>IF(VLOOKUP($D392,$C$5:$AJ$646,30,)=0,0,((VLOOKUP($D392,$C$5:$AJ$646,30,)/VLOOKUP($D392,$C$5:$AJ$646,4,))*$F392))</f>
        <v>0</v>
      </c>
      <c r="AG392" s="98"/>
      <c r="AH392" s="98">
        <f>IF(VLOOKUP($D392,$C$5:$AJ$646,32,)=0,0,((VLOOKUP($D392,$C$5:$AJ$646,32,)/VLOOKUP($D392,$C$5:$AJ$646,4,))*$F392))</f>
        <v>0</v>
      </c>
      <c r="AI392" s="98"/>
      <c r="AJ392" s="98">
        <f>IF(VLOOKUP($D392,$C$5:$AJ$646,34,)=0,0,((VLOOKUP($D392,$C$5:$AJ$646,34,)/VLOOKUP($D392,$C$5:$AJ$646,4,))*$F392))</f>
        <v>0</v>
      </c>
      <c r="AK392" s="98">
        <f>SUM(H392:AJ392)</f>
        <v>0</v>
      </c>
      <c r="AL392" s="95" t="str">
        <f>IF(ABS(AK392-F392)&lt;1,"ok","err")</f>
        <v>ok</v>
      </c>
    </row>
    <row r="393" spans="1:38" x14ac:dyDescent="0.25">
      <c r="A393" s="94">
        <v>544</v>
      </c>
      <c r="B393" s="94" t="s">
        <v>1937</v>
      </c>
      <c r="C393" s="94" t="s">
        <v>2215</v>
      </c>
      <c r="D393" s="94" t="s">
        <v>124</v>
      </c>
      <c r="F393" s="98">
        <f>'Jurisdictional Study'!F1332</f>
        <v>45888.352481287387</v>
      </c>
      <c r="H393" s="98">
        <f>IF(VLOOKUP($D393,$C$5:$AJ$646,6,)=0,0,((VLOOKUP($D393,$C$5:$AJ$646,6,)/VLOOKUP($D393,$C$5:$AJ$646,4,))*$F393))</f>
        <v>0</v>
      </c>
      <c r="I393" s="98">
        <f>IF(VLOOKUP($D393,$C$5:$AJ$646,7,)=0,0,((VLOOKUP($D393,$C$5:$AJ$646,7,)/VLOOKUP($D393,$C$5:$AJ$646,4,))*$F393))</f>
        <v>0</v>
      </c>
      <c r="J393" s="98">
        <f>IF(VLOOKUP($D393,$C$5:$AJ$646,8,)=0,0,((VLOOKUP($D393,$C$5:$AJ$646,8,)/VLOOKUP($D393,$C$5:$AJ$646,4,))*$F393))</f>
        <v>0</v>
      </c>
      <c r="K393" s="98">
        <f>IF(VLOOKUP($D393,$C$5:$AJ$646,9,)=0,0,((VLOOKUP($D393,$C$5:$AJ$646,9,)/VLOOKUP($D393,$C$5:$AJ$646,4,))*$F393))</f>
        <v>45888.352481287387</v>
      </c>
      <c r="L393" s="98">
        <f>IF(VLOOKUP($D393,$C$5:$AJ$646,10,)=0,0,((VLOOKUP($D393,$C$5:$AJ$646,10,)/VLOOKUP($D393,$C$5:$AJ$646,4,))*$F393))</f>
        <v>0</v>
      </c>
      <c r="M393" s="98">
        <f>IF(VLOOKUP($D393,$C$5:$AJ$646,11,)=0,0,((VLOOKUP($D393,$C$5:$AJ$646,11,)/VLOOKUP($D393,$C$5:$AJ$646,4,))*$F393))</f>
        <v>0</v>
      </c>
      <c r="N393" s="98"/>
      <c r="O393" s="98">
        <f>IF(VLOOKUP($D393,$C$5:$AJ$646,13,)=0,0,((VLOOKUP($D393,$C$5:$AJ$646,13,)/VLOOKUP($D393,$C$5:$AJ$646,4,))*$F393))</f>
        <v>0</v>
      </c>
      <c r="P393" s="98">
        <f>IF(VLOOKUP($D393,$C$5:$AJ$646,14,)=0,0,((VLOOKUP($D393,$C$5:$AJ$646,14,)/VLOOKUP($D393,$C$5:$AJ$646,4,))*$F393))</f>
        <v>0</v>
      </c>
      <c r="Q393" s="98">
        <f>IF(VLOOKUP($D393,$C$5:$AJ$646,15,)=0,0,((VLOOKUP($D393,$C$5:$AJ$646,15,)/VLOOKUP($D393,$C$5:$AJ$646,4,))*$F393))</f>
        <v>0</v>
      </c>
      <c r="R393" s="98"/>
      <c r="S393" s="98">
        <f>IF(VLOOKUP($D393,$C$5:$AJ$646,17,)=0,0,((VLOOKUP($D393,$C$5:$AJ$646,17,)/VLOOKUP($D393,$C$5:$AJ$646,4,))*$F393))</f>
        <v>0</v>
      </c>
      <c r="T393" s="98">
        <f>IF(VLOOKUP($D393,$C$5:$AJ$646,18,)=0,0,((VLOOKUP($D393,$C$5:$AJ$646,18,)/VLOOKUP($D393,$C$5:$AJ$646,4,))*$F393))</f>
        <v>0</v>
      </c>
      <c r="U393" s="98">
        <f>IF(VLOOKUP($D393,$C$5:$AJ$646,19,)=0,0,((VLOOKUP($D393,$C$5:$AJ$646,19,)/VLOOKUP($D393,$C$5:$AJ$646,4,))*$F393))</f>
        <v>0</v>
      </c>
      <c r="V393" s="98">
        <f>IF(VLOOKUP($D393,$C$5:$AJ$646,20,)=0,0,((VLOOKUP($D393,$C$5:$AJ$646,20,)/VLOOKUP($D393,$C$5:$AJ$646,4,))*$F393))</f>
        <v>0</v>
      </c>
      <c r="W393" s="98">
        <f>IF(VLOOKUP($D393,$C$5:$AJ$646,21,)=0,0,((VLOOKUP($D393,$C$5:$AJ$646,21,)/VLOOKUP($D393,$C$5:$AJ$646,4,))*$F393))</f>
        <v>0</v>
      </c>
      <c r="X393" s="98">
        <f>IF(VLOOKUP($D393,$C$5:$AJ$646,22,)=0,0,((VLOOKUP($D393,$C$5:$AJ$646,22,)/VLOOKUP($D393,$C$5:$AJ$646,4,))*$F393))</f>
        <v>0</v>
      </c>
      <c r="Y393" s="98">
        <f>IF(VLOOKUP($D393,$C$5:$AJ$646,23,)=0,0,((VLOOKUP($D393,$C$5:$AJ$646,23,)/VLOOKUP($D393,$C$5:$AJ$646,4,))*$F393))</f>
        <v>0</v>
      </c>
      <c r="Z393" s="98">
        <f>IF(VLOOKUP($D393,$C$5:$AJ$646,24,)=0,0,((VLOOKUP($D393,$C$5:$AJ$646,24,)/VLOOKUP($D393,$C$5:$AJ$646,4,))*$F393))</f>
        <v>0</v>
      </c>
      <c r="AA393" s="98">
        <f>IF(VLOOKUP($D393,$C$5:$AJ$646,25,)=0,0,((VLOOKUP($D393,$C$5:$AJ$646,25,)/VLOOKUP($D393,$C$5:$AJ$646,4,))*$F393))</f>
        <v>0</v>
      </c>
      <c r="AB393" s="98">
        <f>IF(VLOOKUP($D393,$C$5:$AJ$646,26,)=0,0,((VLOOKUP($D393,$C$5:$AJ$646,26,)/VLOOKUP($D393,$C$5:$AJ$646,4,))*$F393))</f>
        <v>0</v>
      </c>
      <c r="AC393" s="98">
        <f>IF(VLOOKUP($D393,$C$5:$AJ$646,27,)=0,0,((VLOOKUP($D393,$C$5:$AJ$646,27,)/VLOOKUP($D393,$C$5:$AJ$646,4,))*$F393))</f>
        <v>0</v>
      </c>
      <c r="AD393" s="98">
        <f>IF(VLOOKUP($D393,$C$5:$AJ$646,28,)=0,0,((VLOOKUP($D393,$C$5:$AJ$646,28,)/VLOOKUP($D393,$C$5:$AJ$646,4,))*$F393))</f>
        <v>0</v>
      </c>
      <c r="AE393" s="98"/>
      <c r="AF393" s="98">
        <f>IF(VLOOKUP($D393,$C$5:$AJ$646,30,)=0,0,((VLOOKUP($D393,$C$5:$AJ$646,30,)/VLOOKUP($D393,$C$5:$AJ$646,4,))*$F393))</f>
        <v>0</v>
      </c>
      <c r="AG393" s="98"/>
      <c r="AH393" s="98">
        <f>IF(VLOOKUP($D393,$C$5:$AJ$646,32,)=0,0,((VLOOKUP($D393,$C$5:$AJ$646,32,)/VLOOKUP($D393,$C$5:$AJ$646,4,))*$F393))</f>
        <v>0</v>
      </c>
      <c r="AI393" s="98"/>
      <c r="AJ393" s="98">
        <f>IF(VLOOKUP($D393,$C$5:$AJ$646,34,)=0,0,((VLOOKUP($D393,$C$5:$AJ$646,34,)/VLOOKUP($D393,$C$5:$AJ$646,4,))*$F393))</f>
        <v>0</v>
      </c>
      <c r="AK393" s="98">
        <f>SUM(H393:AJ393)</f>
        <v>45888.352481287387</v>
      </c>
      <c r="AL393" s="95" t="str">
        <f>IF(ABS(AK393-F393)&lt;1,"ok","err")</f>
        <v>ok</v>
      </c>
    </row>
    <row r="394" spans="1:38" x14ac:dyDescent="0.25">
      <c r="A394" s="94">
        <v>545</v>
      </c>
      <c r="B394" s="94" t="s">
        <v>2065</v>
      </c>
      <c r="C394" s="94" t="s">
        <v>2216</v>
      </c>
      <c r="D394" s="94" t="s">
        <v>124</v>
      </c>
      <c r="F394" s="98">
        <f>'Jurisdictional Study'!F1333</f>
        <v>3037.345443525106</v>
      </c>
      <c r="H394" s="98">
        <f>IF(VLOOKUP($D394,$C$5:$AJ$646,6,)=0,0,((VLOOKUP($D394,$C$5:$AJ$646,6,)/VLOOKUP($D394,$C$5:$AJ$646,4,))*$F394))</f>
        <v>0</v>
      </c>
      <c r="I394" s="98">
        <f>IF(VLOOKUP($D394,$C$5:$AJ$646,7,)=0,0,((VLOOKUP($D394,$C$5:$AJ$646,7,)/VLOOKUP($D394,$C$5:$AJ$646,4,))*$F394))</f>
        <v>0</v>
      </c>
      <c r="J394" s="98">
        <f>IF(VLOOKUP($D394,$C$5:$AJ$646,8,)=0,0,((VLOOKUP($D394,$C$5:$AJ$646,8,)/VLOOKUP($D394,$C$5:$AJ$646,4,))*$F394))</f>
        <v>0</v>
      </c>
      <c r="K394" s="98">
        <f>IF(VLOOKUP($D394,$C$5:$AJ$646,9,)=0,0,((VLOOKUP($D394,$C$5:$AJ$646,9,)/VLOOKUP($D394,$C$5:$AJ$646,4,))*$F394))</f>
        <v>3037.345443525106</v>
      </c>
      <c r="L394" s="98">
        <f>IF(VLOOKUP($D394,$C$5:$AJ$646,10,)=0,0,((VLOOKUP($D394,$C$5:$AJ$646,10,)/VLOOKUP($D394,$C$5:$AJ$646,4,))*$F394))</f>
        <v>0</v>
      </c>
      <c r="M394" s="98">
        <f>IF(VLOOKUP($D394,$C$5:$AJ$646,11,)=0,0,((VLOOKUP($D394,$C$5:$AJ$646,11,)/VLOOKUP($D394,$C$5:$AJ$646,4,))*$F394))</f>
        <v>0</v>
      </c>
      <c r="N394" s="98"/>
      <c r="O394" s="98">
        <f>IF(VLOOKUP($D394,$C$5:$AJ$646,13,)=0,0,((VLOOKUP($D394,$C$5:$AJ$646,13,)/VLOOKUP($D394,$C$5:$AJ$646,4,))*$F394))</f>
        <v>0</v>
      </c>
      <c r="P394" s="98">
        <f>IF(VLOOKUP($D394,$C$5:$AJ$646,14,)=0,0,((VLOOKUP($D394,$C$5:$AJ$646,14,)/VLOOKUP($D394,$C$5:$AJ$646,4,))*$F394))</f>
        <v>0</v>
      </c>
      <c r="Q394" s="98">
        <f>IF(VLOOKUP($D394,$C$5:$AJ$646,15,)=0,0,((VLOOKUP($D394,$C$5:$AJ$646,15,)/VLOOKUP($D394,$C$5:$AJ$646,4,))*$F394))</f>
        <v>0</v>
      </c>
      <c r="R394" s="98"/>
      <c r="S394" s="98">
        <f>IF(VLOOKUP($D394,$C$5:$AJ$646,17,)=0,0,((VLOOKUP($D394,$C$5:$AJ$646,17,)/VLOOKUP($D394,$C$5:$AJ$646,4,))*$F394))</f>
        <v>0</v>
      </c>
      <c r="T394" s="98">
        <f>IF(VLOOKUP($D394,$C$5:$AJ$646,18,)=0,0,((VLOOKUP($D394,$C$5:$AJ$646,18,)/VLOOKUP($D394,$C$5:$AJ$646,4,))*$F394))</f>
        <v>0</v>
      </c>
      <c r="U394" s="98">
        <f>IF(VLOOKUP($D394,$C$5:$AJ$646,19,)=0,0,((VLOOKUP($D394,$C$5:$AJ$646,19,)/VLOOKUP($D394,$C$5:$AJ$646,4,))*$F394))</f>
        <v>0</v>
      </c>
      <c r="V394" s="98">
        <f>IF(VLOOKUP($D394,$C$5:$AJ$646,20,)=0,0,((VLOOKUP($D394,$C$5:$AJ$646,20,)/VLOOKUP($D394,$C$5:$AJ$646,4,))*$F394))</f>
        <v>0</v>
      </c>
      <c r="W394" s="98">
        <f>IF(VLOOKUP($D394,$C$5:$AJ$646,21,)=0,0,((VLOOKUP($D394,$C$5:$AJ$646,21,)/VLOOKUP($D394,$C$5:$AJ$646,4,))*$F394))</f>
        <v>0</v>
      </c>
      <c r="X394" s="98">
        <f>IF(VLOOKUP($D394,$C$5:$AJ$646,22,)=0,0,((VLOOKUP($D394,$C$5:$AJ$646,22,)/VLOOKUP($D394,$C$5:$AJ$646,4,))*$F394))</f>
        <v>0</v>
      </c>
      <c r="Y394" s="98">
        <f>IF(VLOOKUP($D394,$C$5:$AJ$646,23,)=0,0,((VLOOKUP($D394,$C$5:$AJ$646,23,)/VLOOKUP($D394,$C$5:$AJ$646,4,))*$F394))</f>
        <v>0</v>
      </c>
      <c r="Z394" s="98">
        <f>IF(VLOOKUP($D394,$C$5:$AJ$646,24,)=0,0,((VLOOKUP($D394,$C$5:$AJ$646,24,)/VLOOKUP($D394,$C$5:$AJ$646,4,))*$F394))</f>
        <v>0</v>
      </c>
      <c r="AA394" s="98">
        <f>IF(VLOOKUP($D394,$C$5:$AJ$646,25,)=0,0,((VLOOKUP($D394,$C$5:$AJ$646,25,)/VLOOKUP($D394,$C$5:$AJ$646,4,))*$F394))</f>
        <v>0</v>
      </c>
      <c r="AB394" s="98">
        <f>IF(VLOOKUP($D394,$C$5:$AJ$646,26,)=0,0,((VLOOKUP($D394,$C$5:$AJ$646,26,)/VLOOKUP($D394,$C$5:$AJ$646,4,))*$F394))</f>
        <v>0</v>
      </c>
      <c r="AC394" s="98">
        <f>IF(VLOOKUP($D394,$C$5:$AJ$646,27,)=0,0,((VLOOKUP($D394,$C$5:$AJ$646,27,)/VLOOKUP($D394,$C$5:$AJ$646,4,))*$F394))</f>
        <v>0</v>
      </c>
      <c r="AD394" s="98">
        <f>IF(VLOOKUP($D394,$C$5:$AJ$646,28,)=0,0,((VLOOKUP($D394,$C$5:$AJ$646,28,)/VLOOKUP($D394,$C$5:$AJ$646,4,))*$F394))</f>
        <v>0</v>
      </c>
      <c r="AE394" s="98"/>
      <c r="AF394" s="98">
        <f>IF(VLOOKUP($D394,$C$5:$AJ$646,30,)=0,0,((VLOOKUP($D394,$C$5:$AJ$646,30,)/VLOOKUP($D394,$C$5:$AJ$646,4,))*$F394))</f>
        <v>0</v>
      </c>
      <c r="AG394" s="98"/>
      <c r="AH394" s="98">
        <f>IF(VLOOKUP($D394,$C$5:$AJ$646,32,)=0,0,((VLOOKUP($D394,$C$5:$AJ$646,32,)/VLOOKUP($D394,$C$5:$AJ$646,4,))*$F394))</f>
        <v>0</v>
      </c>
      <c r="AI394" s="98"/>
      <c r="AJ394" s="98">
        <f>IF(VLOOKUP($D394,$C$5:$AJ$646,34,)=0,0,((VLOOKUP($D394,$C$5:$AJ$646,34,)/VLOOKUP($D394,$C$5:$AJ$646,4,))*$F394))</f>
        <v>0</v>
      </c>
      <c r="AK394" s="98">
        <f>SUM(H394:AJ394)</f>
        <v>3037.345443525106</v>
      </c>
      <c r="AL394" s="95" t="str">
        <f>IF(ABS(AK394-F394)&lt;1,"ok","err")</f>
        <v>ok</v>
      </c>
    </row>
    <row r="395" spans="1:38" x14ac:dyDescent="0.25">
      <c r="F395" s="97"/>
      <c r="Y395" s="94"/>
      <c r="AL395" s="95"/>
    </row>
    <row r="396" spans="1:38" x14ac:dyDescent="0.25">
      <c r="B396" s="94" t="s">
        <v>2038</v>
      </c>
      <c r="C396" s="94" t="s">
        <v>887</v>
      </c>
      <c r="F396" s="97">
        <f>SUM(F390:F395)</f>
        <v>161421.73413091726</v>
      </c>
      <c r="H396" s="97">
        <f t="shared" ref="H396:M396" si="380">SUM(H390:H395)</f>
        <v>15699.357991889714</v>
      </c>
      <c r="I396" s="97">
        <f t="shared" si="380"/>
        <v>14799.435446930147</v>
      </c>
      <c r="J396" s="97">
        <f t="shared" si="380"/>
        <v>15199.122370403282</v>
      </c>
      <c r="K396" s="97">
        <f t="shared" si="380"/>
        <v>115723.81832169411</v>
      </c>
      <c r="L396" s="97">
        <f t="shared" si="380"/>
        <v>0</v>
      </c>
      <c r="M396" s="97">
        <f t="shared" si="380"/>
        <v>0</v>
      </c>
      <c r="O396" s="97">
        <f>SUM(O390:O395)</f>
        <v>0</v>
      </c>
      <c r="P396" s="97">
        <f>SUM(P390:P395)</f>
        <v>0</v>
      </c>
      <c r="Q396" s="97">
        <f>SUM(Q390:Q395)</f>
        <v>0</v>
      </c>
      <c r="S396" s="97">
        <f t="shared" ref="S396:AD396" si="381">SUM(S390:S395)</f>
        <v>0</v>
      </c>
      <c r="T396" s="97">
        <f t="shared" si="381"/>
        <v>0</v>
      </c>
      <c r="U396" s="97">
        <f t="shared" si="381"/>
        <v>0</v>
      </c>
      <c r="V396" s="97">
        <f t="shared" si="381"/>
        <v>0</v>
      </c>
      <c r="W396" s="97">
        <f t="shared" si="381"/>
        <v>0</v>
      </c>
      <c r="X396" s="97">
        <f t="shared" si="381"/>
        <v>0</v>
      </c>
      <c r="Y396" s="97">
        <f t="shared" si="381"/>
        <v>0</v>
      </c>
      <c r="Z396" s="97">
        <f t="shared" si="381"/>
        <v>0</v>
      </c>
      <c r="AA396" s="97">
        <f t="shared" si="381"/>
        <v>0</v>
      </c>
      <c r="AB396" s="97">
        <f t="shared" si="381"/>
        <v>0</v>
      </c>
      <c r="AC396" s="97">
        <f t="shared" si="381"/>
        <v>0</v>
      </c>
      <c r="AD396" s="97">
        <f t="shared" si="381"/>
        <v>0</v>
      </c>
      <c r="AF396" s="97">
        <f>SUM(AF390:AF395)</f>
        <v>0</v>
      </c>
      <c r="AH396" s="97">
        <f>SUM(AH390:AH395)</f>
        <v>0</v>
      </c>
      <c r="AJ396" s="97">
        <f>SUM(AJ390:AJ395)</f>
        <v>0</v>
      </c>
      <c r="AK396" s="98">
        <f>SUM(H396:AJ396)</f>
        <v>161421.73413091726</v>
      </c>
      <c r="AL396" s="95" t="str">
        <f>IF(ABS(AK396-F396)&lt;1,"ok","err")</f>
        <v>ok</v>
      </c>
    </row>
    <row r="397" spans="1:38" x14ac:dyDescent="0.25">
      <c r="F397" s="97"/>
      <c r="H397" s="97"/>
      <c r="I397" s="97"/>
      <c r="J397" s="97"/>
      <c r="K397" s="97"/>
      <c r="L397" s="97"/>
      <c r="M397" s="97"/>
      <c r="O397" s="97"/>
      <c r="P397" s="97"/>
      <c r="Q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F397" s="97"/>
      <c r="AH397" s="97"/>
      <c r="AJ397" s="97"/>
      <c r="AK397" s="98"/>
      <c r="AL397" s="95"/>
    </row>
    <row r="398" spans="1:38" x14ac:dyDescent="0.25">
      <c r="B398" s="94" t="s">
        <v>2037</v>
      </c>
      <c r="F398" s="97">
        <f>F387+F396</f>
        <v>172823.8794294956</v>
      </c>
      <c r="H398" s="97">
        <f t="shared" ref="H398:M398" si="382">H387+H396</f>
        <v>19616.524841800958</v>
      </c>
      <c r="I398" s="97">
        <f t="shared" si="382"/>
        <v>18492.061474062237</v>
      </c>
      <c r="J398" s="97">
        <f t="shared" si="382"/>
        <v>18991.474791938301</v>
      </c>
      <c r="K398" s="97">
        <f t="shared" si="382"/>
        <v>115723.81832169411</v>
      </c>
      <c r="L398" s="97">
        <f t="shared" si="382"/>
        <v>0</v>
      </c>
      <c r="M398" s="97">
        <f t="shared" si="382"/>
        <v>0</v>
      </c>
      <c r="O398" s="97">
        <f>O387+O396</f>
        <v>0</v>
      </c>
      <c r="P398" s="97">
        <f>P387+P396</f>
        <v>0</v>
      </c>
      <c r="Q398" s="97">
        <f>Q387+Q396</f>
        <v>0</v>
      </c>
      <c r="S398" s="97">
        <f t="shared" ref="S398:AD398" si="383">S387+S396</f>
        <v>0</v>
      </c>
      <c r="T398" s="97">
        <f t="shared" si="383"/>
        <v>0</v>
      </c>
      <c r="U398" s="97">
        <f t="shared" si="383"/>
        <v>0</v>
      </c>
      <c r="V398" s="97">
        <f t="shared" si="383"/>
        <v>0</v>
      </c>
      <c r="W398" s="97">
        <f t="shared" si="383"/>
        <v>0</v>
      </c>
      <c r="X398" s="97">
        <f t="shared" si="383"/>
        <v>0</v>
      </c>
      <c r="Y398" s="97">
        <f t="shared" si="383"/>
        <v>0</v>
      </c>
      <c r="Z398" s="97">
        <f t="shared" si="383"/>
        <v>0</v>
      </c>
      <c r="AA398" s="97">
        <f t="shared" si="383"/>
        <v>0</v>
      </c>
      <c r="AB398" s="97">
        <f t="shared" si="383"/>
        <v>0</v>
      </c>
      <c r="AC398" s="97">
        <f t="shared" si="383"/>
        <v>0</v>
      </c>
      <c r="AD398" s="97">
        <f t="shared" si="383"/>
        <v>0</v>
      </c>
      <c r="AF398" s="97">
        <f>AF387+AF396</f>
        <v>0</v>
      </c>
      <c r="AH398" s="97">
        <f>AH387+AH396</f>
        <v>0</v>
      </c>
      <c r="AJ398" s="97">
        <f>AJ387+AJ396</f>
        <v>0</v>
      </c>
      <c r="AK398" s="98">
        <f>SUM(H398:AJ398)</f>
        <v>172823.8794294956</v>
      </c>
      <c r="AL398" s="95" t="str">
        <f>IF(ABS(AK398-F398)&lt;1,"ok","err")</f>
        <v>ok</v>
      </c>
    </row>
    <row r="399" spans="1:38" x14ac:dyDescent="0.25">
      <c r="F399" s="97"/>
      <c r="Y399" s="94"/>
      <c r="AK399" s="98"/>
      <c r="AL399" s="95"/>
    </row>
    <row r="400" spans="1:38" x14ac:dyDescent="0.25">
      <c r="A400" s="16" t="s">
        <v>1944</v>
      </c>
      <c r="F400" s="97"/>
      <c r="Y400" s="94"/>
      <c r="AK400" s="98"/>
      <c r="AL400" s="95"/>
    </row>
    <row r="401" spans="1:38" x14ac:dyDescent="0.25">
      <c r="A401" s="94">
        <v>546</v>
      </c>
      <c r="B401" s="94" t="s">
        <v>1921</v>
      </c>
      <c r="C401" s="94" t="s">
        <v>2001</v>
      </c>
      <c r="D401" s="94" t="s">
        <v>885</v>
      </c>
      <c r="F401" s="97">
        <f>'Jurisdictional Study'!F1334</f>
        <v>173570.45606707671</v>
      </c>
      <c r="H401" s="98">
        <f>IF(VLOOKUP($D401,$C$5:$AJ$646,6,)=0,0,((VLOOKUP($D401,$C$5:$AJ$646,6,)/VLOOKUP($D401,$C$5:$AJ$646,4,))*$F401))</f>
        <v>59629.518728787014</v>
      </c>
      <c r="I401" s="98">
        <f>IF(VLOOKUP($D401,$C$5:$AJ$646,7,)=0,0,((VLOOKUP($D401,$C$5:$AJ$646,7,)/VLOOKUP($D401,$C$5:$AJ$646,4,))*$F401))</f>
        <v>56211.420467899778</v>
      </c>
      <c r="J401" s="98">
        <f>IF(VLOOKUP($D401,$C$5:$AJ$646,8,)=0,0,((VLOOKUP($D401,$C$5:$AJ$646,8,)/VLOOKUP($D401,$C$5:$AJ$646,4,))*$F401))</f>
        <v>57729.516870389925</v>
      </c>
      <c r="K401" s="98">
        <f>IF(VLOOKUP($D401,$C$5:$AJ$646,9,)=0,0,((VLOOKUP($D401,$C$5:$AJ$646,9,)/VLOOKUP($D401,$C$5:$AJ$646,4,))*$F401))</f>
        <v>0</v>
      </c>
      <c r="L401" s="98">
        <f>IF(VLOOKUP($D401,$C$5:$AJ$646,10,)=0,0,((VLOOKUP($D401,$C$5:$AJ$646,10,)/VLOOKUP($D401,$C$5:$AJ$646,4,))*$F401))</f>
        <v>0</v>
      </c>
      <c r="M401" s="98">
        <f>IF(VLOOKUP($D401,$C$5:$AJ$646,11,)=0,0,((VLOOKUP($D401,$C$5:$AJ$646,11,)/VLOOKUP($D401,$C$5:$AJ$646,4,))*$F401))</f>
        <v>0</v>
      </c>
      <c r="N401" s="98"/>
      <c r="O401" s="98">
        <f>IF(VLOOKUP($D401,$C$5:$AJ$646,13,)=0,0,((VLOOKUP($D401,$C$5:$AJ$646,13,)/VLOOKUP($D401,$C$5:$AJ$646,4,))*$F401))</f>
        <v>0</v>
      </c>
      <c r="P401" s="98">
        <f>IF(VLOOKUP($D401,$C$5:$AJ$646,14,)=0,0,((VLOOKUP($D401,$C$5:$AJ$646,14,)/VLOOKUP($D401,$C$5:$AJ$646,4,))*$F401))</f>
        <v>0</v>
      </c>
      <c r="Q401" s="98">
        <f>IF(VLOOKUP($D401,$C$5:$AJ$646,15,)=0,0,((VLOOKUP($D401,$C$5:$AJ$646,15,)/VLOOKUP($D401,$C$5:$AJ$646,4,))*$F401))</f>
        <v>0</v>
      </c>
      <c r="R401" s="98"/>
      <c r="S401" s="98">
        <f>IF(VLOOKUP($D401,$C$5:$AJ$646,17,)=0,0,((VLOOKUP($D401,$C$5:$AJ$646,17,)/VLOOKUP($D401,$C$5:$AJ$646,4,))*$F401))</f>
        <v>0</v>
      </c>
      <c r="T401" s="98">
        <f>IF(VLOOKUP($D401,$C$5:$AJ$646,18,)=0,0,((VLOOKUP($D401,$C$5:$AJ$646,18,)/VLOOKUP($D401,$C$5:$AJ$646,4,))*$F401))</f>
        <v>0</v>
      </c>
      <c r="U401" s="98">
        <f>IF(VLOOKUP($D401,$C$5:$AJ$646,19,)=0,0,((VLOOKUP($D401,$C$5:$AJ$646,19,)/VLOOKUP($D401,$C$5:$AJ$646,4,))*$F401))</f>
        <v>0</v>
      </c>
      <c r="V401" s="98">
        <f>IF(VLOOKUP($D401,$C$5:$AJ$646,20,)=0,0,((VLOOKUP($D401,$C$5:$AJ$646,20,)/VLOOKUP($D401,$C$5:$AJ$646,4,))*$F401))</f>
        <v>0</v>
      </c>
      <c r="W401" s="98">
        <f>IF(VLOOKUP($D401,$C$5:$AJ$646,21,)=0,0,((VLOOKUP($D401,$C$5:$AJ$646,21,)/VLOOKUP($D401,$C$5:$AJ$646,4,))*$F401))</f>
        <v>0</v>
      </c>
      <c r="X401" s="98">
        <f>IF(VLOOKUP($D401,$C$5:$AJ$646,22,)=0,0,((VLOOKUP($D401,$C$5:$AJ$646,22,)/VLOOKUP($D401,$C$5:$AJ$646,4,))*$F401))</f>
        <v>0</v>
      </c>
      <c r="Y401" s="98">
        <f>IF(VLOOKUP($D401,$C$5:$AJ$646,23,)=0,0,((VLOOKUP($D401,$C$5:$AJ$646,23,)/VLOOKUP($D401,$C$5:$AJ$646,4,))*$F401))</f>
        <v>0</v>
      </c>
      <c r="Z401" s="98">
        <f>IF(VLOOKUP($D401,$C$5:$AJ$646,24,)=0,0,((VLOOKUP($D401,$C$5:$AJ$646,24,)/VLOOKUP($D401,$C$5:$AJ$646,4,))*$F401))</f>
        <v>0</v>
      </c>
      <c r="AA401" s="98">
        <f>IF(VLOOKUP($D401,$C$5:$AJ$646,25,)=0,0,((VLOOKUP($D401,$C$5:$AJ$646,25,)/VLOOKUP($D401,$C$5:$AJ$646,4,))*$F401))</f>
        <v>0</v>
      </c>
      <c r="AB401" s="98">
        <f>IF(VLOOKUP($D401,$C$5:$AJ$646,26,)=0,0,((VLOOKUP($D401,$C$5:$AJ$646,26,)/VLOOKUP($D401,$C$5:$AJ$646,4,))*$F401))</f>
        <v>0</v>
      </c>
      <c r="AC401" s="98">
        <f>IF(VLOOKUP($D401,$C$5:$AJ$646,27,)=0,0,((VLOOKUP($D401,$C$5:$AJ$646,27,)/VLOOKUP($D401,$C$5:$AJ$646,4,))*$F401))</f>
        <v>0</v>
      </c>
      <c r="AD401" s="98">
        <f>IF(VLOOKUP($D401,$C$5:$AJ$646,28,)=0,0,((VLOOKUP($D401,$C$5:$AJ$646,28,)/VLOOKUP($D401,$C$5:$AJ$646,4,))*$F401))</f>
        <v>0</v>
      </c>
      <c r="AE401" s="98"/>
      <c r="AF401" s="98">
        <f>IF(VLOOKUP($D401,$C$5:$AJ$646,30,)=0,0,((VLOOKUP($D401,$C$5:$AJ$646,30,)/VLOOKUP($D401,$C$5:$AJ$646,4,))*$F401))</f>
        <v>0</v>
      </c>
      <c r="AG401" s="98"/>
      <c r="AH401" s="98">
        <f>IF(VLOOKUP($D401,$C$5:$AJ$646,32,)=0,0,((VLOOKUP($D401,$C$5:$AJ$646,32,)/VLOOKUP($D401,$C$5:$AJ$646,4,))*$F401))</f>
        <v>0</v>
      </c>
      <c r="AI401" s="98"/>
      <c r="AJ401" s="98">
        <f>IF(VLOOKUP($D401,$C$5:$AJ$646,34,)=0,0,((VLOOKUP($D401,$C$5:$AJ$646,34,)/VLOOKUP($D401,$C$5:$AJ$646,4,))*$F401))</f>
        <v>0</v>
      </c>
      <c r="AK401" s="98">
        <f t="shared" ref="AK401:AK407" si="384">SUM(H401:AJ401)</f>
        <v>173570.45606707671</v>
      </c>
      <c r="AL401" s="95" t="str">
        <f t="shared" ref="AL401:AL407" si="385">IF(ABS(AK401-F401)&lt;1,"ok","err")</f>
        <v>ok</v>
      </c>
    </row>
    <row r="402" spans="1:38" x14ac:dyDescent="0.25">
      <c r="A402" s="94">
        <v>547</v>
      </c>
      <c r="B402" s="94" t="s">
        <v>1923</v>
      </c>
      <c r="C402" s="94" t="s">
        <v>2002</v>
      </c>
      <c r="D402" s="94" t="s">
        <v>124</v>
      </c>
      <c r="F402" s="98">
        <f>'Jurisdictional Study'!F1315</f>
        <v>0</v>
      </c>
      <c r="H402" s="98">
        <f>IF(VLOOKUP($D402,$C$5:$AJ$646,6,)=0,0,((VLOOKUP($D402,$C$5:$AJ$646,6,)/VLOOKUP($D402,$C$5:$AJ$646,4,))*$F402))</f>
        <v>0</v>
      </c>
      <c r="I402" s="98">
        <f>IF(VLOOKUP($D402,$C$5:$AJ$646,7,)=0,0,((VLOOKUP($D402,$C$5:$AJ$646,7,)/VLOOKUP($D402,$C$5:$AJ$646,4,))*$F402))</f>
        <v>0</v>
      </c>
      <c r="J402" s="98">
        <f>IF(VLOOKUP($D402,$C$5:$AJ$646,8,)=0,0,((VLOOKUP($D402,$C$5:$AJ$646,8,)/VLOOKUP($D402,$C$5:$AJ$646,4,))*$F402))</f>
        <v>0</v>
      </c>
      <c r="K402" s="98">
        <f>IF(VLOOKUP($D402,$C$5:$AJ$646,9,)=0,0,((VLOOKUP($D402,$C$5:$AJ$646,9,)/VLOOKUP($D402,$C$5:$AJ$646,4,))*$F402))</f>
        <v>0</v>
      </c>
      <c r="L402" s="98">
        <f>IF(VLOOKUP($D402,$C$5:$AJ$646,10,)=0,0,((VLOOKUP($D402,$C$5:$AJ$646,10,)/VLOOKUP($D402,$C$5:$AJ$646,4,))*$F402))</f>
        <v>0</v>
      </c>
      <c r="M402" s="98">
        <f>IF(VLOOKUP($D402,$C$5:$AJ$646,11,)=0,0,((VLOOKUP($D402,$C$5:$AJ$646,11,)/VLOOKUP($D402,$C$5:$AJ$646,4,))*$F402))</f>
        <v>0</v>
      </c>
      <c r="N402" s="98"/>
      <c r="O402" s="98">
        <f>IF(VLOOKUP($D402,$C$5:$AJ$646,13,)=0,0,((VLOOKUP($D402,$C$5:$AJ$646,13,)/VLOOKUP($D402,$C$5:$AJ$646,4,))*$F402))</f>
        <v>0</v>
      </c>
      <c r="P402" s="98">
        <f>IF(VLOOKUP($D402,$C$5:$AJ$646,14,)=0,0,((VLOOKUP($D402,$C$5:$AJ$646,14,)/VLOOKUP($D402,$C$5:$AJ$646,4,))*$F402))</f>
        <v>0</v>
      </c>
      <c r="Q402" s="98">
        <f>IF(VLOOKUP($D402,$C$5:$AJ$646,15,)=0,0,((VLOOKUP($D402,$C$5:$AJ$646,15,)/VLOOKUP($D402,$C$5:$AJ$646,4,))*$F402))</f>
        <v>0</v>
      </c>
      <c r="R402" s="98"/>
      <c r="S402" s="98">
        <f>IF(VLOOKUP($D402,$C$5:$AJ$646,17,)=0,0,((VLOOKUP($D402,$C$5:$AJ$646,17,)/VLOOKUP($D402,$C$5:$AJ$646,4,))*$F402))</f>
        <v>0</v>
      </c>
      <c r="T402" s="98">
        <f>IF(VLOOKUP($D402,$C$5:$AJ$646,18,)=0,0,((VLOOKUP($D402,$C$5:$AJ$646,18,)/VLOOKUP($D402,$C$5:$AJ$646,4,))*$F402))</f>
        <v>0</v>
      </c>
      <c r="U402" s="98">
        <f>IF(VLOOKUP($D402,$C$5:$AJ$646,19,)=0,0,((VLOOKUP($D402,$C$5:$AJ$646,19,)/VLOOKUP($D402,$C$5:$AJ$646,4,))*$F402))</f>
        <v>0</v>
      </c>
      <c r="V402" s="98">
        <f>IF(VLOOKUP($D402,$C$5:$AJ$646,20,)=0,0,((VLOOKUP($D402,$C$5:$AJ$646,20,)/VLOOKUP($D402,$C$5:$AJ$646,4,))*$F402))</f>
        <v>0</v>
      </c>
      <c r="W402" s="98">
        <f>IF(VLOOKUP($D402,$C$5:$AJ$646,21,)=0,0,((VLOOKUP($D402,$C$5:$AJ$646,21,)/VLOOKUP($D402,$C$5:$AJ$646,4,))*$F402))</f>
        <v>0</v>
      </c>
      <c r="X402" s="98">
        <f>IF(VLOOKUP($D402,$C$5:$AJ$646,22,)=0,0,((VLOOKUP($D402,$C$5:$AJ$646,22,)/VLOOKUP($D402,$C$5:$AJ$646,4,))*$F402))</f>
        <v>0</v>
      </c>
      <c r="Y402" s="98">
        <f>IF(VLOOKUP($D402,$C$5:$AJ$646,23,)=0,0,((VLOOKUP($D402,$C$5:$AJ$646,23,)/VLOOKUP($D402,$C$5:$AJ$646,4,))*$F402))</f>
        <v>0</v>
      </c>
      <c r="Z402" s="98">
        <f>IF(VLOOKUP($D402,$C$5:$AJ$646,24,)=0,0,((VLOOKUP($D402,$C$5:$AJ$646,24,)/VLOOKUP($D402,$C$5:$AJ$646,4,))*$F402))</f>
        <v>0</v>
      </c>
      <c r="AA402" s="98">
        <f>IF(VLOOKUP($D402,$C$5:$AJ$646,25,)=0,0,((VLOOKUP($D402,$C$5:$AJ$646,25,)/VLOOKUP($D402,$C$5:$AJ$646,4,))*$F402))</f>
        <v>0</v>
      </c>
      <c r="AB402" s="98">
        <f>IF(VLOOKUP($D402,$C$5:$AJ$646,26,)=0,0,((VLOOKUP($D402,$C$5:$AJ$646,26,)/VLOOKUP($D402,$C$5:$AJ$646,4,))*$F402))</f>
        <v>0</v>
      </c>
      <c r="AC402" s="98">
        <f>IF(VLOOKUP($D402,$C$5:$AJ$646,27,)=0,0,((VLOOKUP($D402,$C$5:$AJ$646,27,)/VLOOKUP($D402,$C$5:$AJ$646,4,))*$F402))</f>
        <v>0</v>
      </c>
      <c r="AD402" s="98">
        <f>IF(VLOOKUP($D402,$C$5:$AJ$646,28,)=0,0,((VLOOKUP($D402,$C$5:$AJ$646,28,)/VLOOKUP($D402,$C$5:$AJ$646,4,))*$F402))</f>
        <v>0</v>
      </c>
      <c r="AE402" s="98"/>
      <c r="AF402" s="98">
        <f>IF(VLOOKUP($D402,$C$5:$AJ$646,30,)=0,0,((VLOOKUP($D402,$C$5:$AJ$646,30,)/VLOOKUP($D402,$C$5:$AJ$646,4,))*$F402))</f>
        <v>0</v>
      </c>
      <c r="AG402" s="98"/>
      <c r="AH402" s="98">
        <f>IF(VLOOKUP($D402,$C$5:$AJ$646,32,)=0,0,((VLOOKUP($D402,$C$5:$AJ$646,32,)/VLOOKUP($D402,$C$5:$AJ$646,4,))*$F402))</f>
        <v>0</v>
      </c>
      <c r="AI402" s="98"/>
      <c r="AJ402" s="98">
        <f>IF(VLOOKUP($D402,$C$5:$AJ$646,34,)=0,0,((VLOOKUP($D402,$C$5:$AJ$646,34,)/VLOOKUP($D402,$C$5:$AJ$646,4,))*$F402))</f>
        <v>0</v>
      </c>
      <c r="AK402" s="98">
        <f t="shared" si="384"/>
        <v>0</v>
      </c>
      <c r="AL402" s="95" t="str">
        <f t="shared" si="385"/>
        <v>ok</v>
      </c>
    </row>
    <row r="403" spans="1:38" x14ac:dyDescent="0.25">
      <c r="A403" s="94">
        <v>548</v>
      </c>
      <c r="B403" s="94" t="s">
        <v>1947</v>
      </c>
      <c r="C403" s="94" t="s">
        <v>2003</v>
      </c>
      <c r="D403" s="94" t="s">
        <v>885</v>
      </c>
      <c r="F403" s="98">
        <f>'Jurisdictional Study'!F1335</f>
        <v>206772.18158112635</v>
      </c>
      <c r="H403" s="98">
        <f>IF(VLOOKUP($D403,$C$5:$AJ$646,6,)=0,0,((VLOOKUP($D403,$C$5:$AJ$646,6,)/VLOOKUP($D403,$C$5:$AJ$646,4,))*$F403))</f>
        <v>71035.854566280977</v>
      </c>
      <c r="I403" s="98">
        <f>IF(VLOOKUP($D403,$C$5:$AJ$646,7,)=0,0,((VLOOKUP($D403,$C$5:$AJ$646,7,)/VLOOKUP($D403,$C$5:$AJ$646,4,))*$F403))</f>
        <v>66963.91945545096</v>
      </c>
      <c r="J403" s="98">
        <f>IF(VLOOKUP($D403,$C$5:$AJ$646,8,)=0,0,((VLOOKUP($D403,$C$5:$AJ$646,8,)/VLOOKUP($D403,$C$5:$AJ$646,4,))*$F403))</f>
        <v>68772.407559394414</v>
      </c>
      <c r="K403" s="98">
        <f>IF(VLOOKUP($D403,$C$5:$AJ$646,9,)=0,0,((VLOOKUP($D403,$C$5:$AJ$646,9,)/VLOOKUP($D403,$C$5:$AJ$646,4,))*$F403))</f>
        <v>0</v>
      </c>
      <c r="L403" s="98">
        <f>IF(VLOOKUP($D403,$C$5:$AJ$646,10,)=0,0,((VLOOKUP($D403,$C$5:$AJ$646,10,)/VLOOKUP($D403,$C$5:$AJ$646,4,))*$F403))</f>
        <v>0</v>
      </c>
      <c r="M403" s="98">
        <f>IF(VLOOKUP($D403,$C$5:$AJ$646,11,)=0,0,((VLOOKUP($D403,$C$5:$AJ$646,11,)/VLOOKUP($D403,$C$5:$AJ$646,4,))*$F403))</f>
        <v>0</v>
      </c>
      <c r="N403" s="98"/>
      <c r="O403" s="98">
        <f>IF(VLOOKUP($D403,$C$5:$AJ$646,13,)=0,0,((VLOOKUP($D403,$C$5:$AJ$646,13,)/VLOOKUP($D403,$C$5:$AJ$646,4,))*$F403))</f>
        <v>0</v>
      </c>
      <c r="P403" s="98">
        <f>IF(VLOOKUP($D403,$C$5:$AJ$646,14,)=0,0,((VLOOKUP($D403,$C$5:$AJ$646,14,)/VLOOKUP($D403,$C$5:$AJ$646,4,))*$F403))</f>
        <v>0</v>
      </c>
      <c r="Q403" s="98">
        <f>IF(VLOOKUP($D403,$C$5:$AJ$646,15,)=0,0,((VLOOKUP($D403,$C$5:$AJ$646,15,)/VLOOKUP($D403,$C$5:$AJ$646,4,))*$F403))</f>
        <v>0</v>
      </c>
      <c r="R403" s="98"/>
      <c r="S403" s="98">
        <f>IF(VLOOKUP($D403,$C$5:$AJ$646,17,)=0,0,((VLOOKUP($D403,$C$5:$AJ$646,17,)/VLOOKUP($D403,$C$5:$AJ$646,4,))*$F403))</f>
        <v>0</v>
      </c>
      <c r="T403" s="98">
        <f>IF(VLOOKUP($D403,$C$5:$AJ$646,18,)=0,0,((VLOOKUP($D403,$C$5:$AJ$646,18,)/VLOOKUP($D403,$C$5:$AJ$646,4,))*$F403))</f>
        <v>0</v>
      </c>
      <c r="U403" s="98">
        <f>IF(VLOOKUP($D403,$C$5:$AJ$646,19,)=0,0,((VLOOKUP($D403,$C$5:$AJ$646,19,)/VLOOKUP($D403,$C$5:$AJ$646,4,))*$F403))</f>
        <v>0</v>
      </c>
      <c r="V403" s="98">
        <f>IF(VLOOKUP($D403,$C$5:$AJ$646,20,)=0,0,((VLOOKUP($D403,$C$5:$AJ$646,20,)/VLOOKUP($D403,$C$5:$AJ$646,4,))*$F403))</f>
        <v>0</v>
      </c>
      <c r="W403" s="98">
        <f>IF(VLOOKUP($D403,$C$5:$AJ$646,21,)=0,0,((VLOOKUP($D403,$C$5:$AJ$646,21,)/VLOOKUP($D403,$C$5:$AJ$646,4,))*$F403))</f>
        <v>0</v>
      </c>
      <c r="X403" s="98">
        <f>IF(VLOOKUP($D403,$C$5:$AJ$646,22,)=0,0,((VLOOKUP($D403,$C$5:$AJ$646,22,)/VLOOKUP($D403,$C$5:$AJ$646,4,))*$F403))</f>
        <v>0</v>
      </c>
      <c r="Y403" s="98">
        <f>IF(VLOOKUP($D403,$C$5:$AJ$646,23,)=0,0,((VLOOKUP($D403,$C$5:$AJ$646,23,)/VLOOKUP($D403,$C$5:$AJ$646,4,))*$F403))</f>
        <v>0</v>
      </c>
      <c r="Z403" s="98">
        <f>IF(VLOOKUP($D403,$C$5:$AJ$646,24,)=0,0,((VLOOKUP($D403,$C$5:$AJ$646,24,)/VLOOKUP($D403,$C$5:$AJ$646,4,))*$F403))</f>
        <v>0</v>
      </c>
      <c r="AA403" s="98">
        <f>IF(VLOOKUP($D403,$C$5:$AJ$646,25,)=0,0,((VLOOKUP($D403,$C$5:$AJ$646,25,)/VLOOKUP($D403,$C$5:$AJ$646,4,))*$F403))</f>
        <v>0</v>
      </c>
      <c r="AB403" s="98">
        <f>IF(VLOOKUP($D403,$C$5:$AJ$646,26,)=0,0,((VLOOKUP($D403,$C$5:$AJ$646,26,)/VLOOKUP($D403,$C$5:$AJ$646,4,))*$F403))</f>
        <v>0</v>
      </c>
      <c r="AC403" s="98">
        <f>IF(VLOOKUP($D403,$C$5:$AJ$646,27,)=0,0,((VLOOKUP($D403,$C$5:$AJ$646,27,)/VLOOKUP($D403,$C$5:$AJ$646,4,))*$F403))</f>
        <v>0</v>
      </c>
      <c r="AD403" s="98">
        <f>IF(VLOOKUP($D403,$C$5:$AJ$646,28,)=0,0,((VLOOKUP($D403,$C$5:$AJ$646,28,)/VLOOKUP($D403,$C$5:$AJ$646,4,))*$F403))</f>
        <v>0</v>
      </c>
      <c r="AE403" s="98"/>
      <c r="AF403" s="98">
        <f>IF(VLOOKUP($D403,$C$5:$AJ$646,30,)=0,0,((VLOOKUP($D403,$C$5:$AJ$646,30,)/VLOOKUP($D403,$C$5:$AJ$646,4,))*$F403))</f>
        <v>0</v>
      </c>
      <c r="AG403" s="98"/>
      <c r="AH403" s="98">
        <f>IF(VLOOKUP($D403,$C$5:$AJ$646,32,)=0,0,((VLOOKUP($D403,$C$5:$AJ$646,32,)/VLOOKUP($D403,$C$5:$AJ$646,4,))*$F403))</f>
        <v>0</v>
      </c>
      <c r="AI403" s="98"/>
      <c r="AJ403" s="98">
        <f>IF(VLOOKUP($D403,$C$5:$AJ$646,34,)=0,0,((VLOOKUP($D403,$C$5:$AJ$646,34,)/VLOOKUP($D403,$C$5:$AJ$646,4,))*$F403))</f>
        <v>0</v>
      </c>
      <c r="AK403" s="98">
        <f t="shared" si="384"/>
        <v>206772.18158112635</v>
      </c>
      <c r="AL403" s="95" t="str">
        <f t="shared" si="385"/>
        <v>ok</v>
      </c>
    </row>
    <row r="404" spans="1:38" x14ac:dyDescent="0.25">
      <c r="A404" s="94">
        <v>549</v>
      </c>
      <c r="B404" s="94" t="s">
        <v>1949</v>
      </c>
      <c r="C404" s="94" t="s">
        <v>2004</v>
      </c>
      <c r="D404" s="94" t="s">
        <v>885</v>
      </c>
      <c r="F404" s="98">
        <f>'Jurisdictional Study'!F1336</f>
        <v>18377.514975061327</v>
      </c>
      <c r="H404" s="98">
        <f>IF(VLOOKUP($D404,$C$5:$AJ$646,6,)=0,0,((VLOOKUP($D404,$C$5:$AJ$646,6,)/VLOOKUP($D404,$C$5:$AJ$646,4,))*$F404))</f>
        <v>6313.5305294726677</v>
      </c>
      <c r="I404" s="98">
        <f>IF(VLOOKUP($D404,$C$5:$AJ$646,7,)=0,0,((VLOOKUP($D404,$C$5:$AJ$646,7,)/VLOOKUP($D404,$C$5:$AJ$646,4,))*$F404))</f>
        <v>5951.6247455101548</v>
      </c>
      <c r="J404" s="98">
        <f>IF(VLOOKUP($D404,$C$5:$AJ$646,8,)=0,0,((VLOOKUP($D404,$C$5:$AJ$646,8,)/VLOOKUP($D404,$C$5:$AJ$646,4,))*$F404))</f>
        <v>6112.3597000785048</v>
      </c>
      <c r="K404" s="98">
        <f>IF(VLOOKUP($D404,$C$5:$AJ$646,9,)=0,0,((VLOOKUP($D404,$C$5:$AJ$646,9,)/VLOOKUP($D404,$C$5:$AJ$646,4,))*$F404))</f>
        <v>0</v>
      </c>
      <c r="L404" s="98">
        <f>IF(VLOOKUP($D404,$C$5:$AJ$646,10,)=0,0,((VLOOKUP($D404,$C$5:$AJ$646,10,)/VLOOKUP($D404,$C$5:$AJ$646,4,))*$F404))</f>
        <v>0</v>
      </c>
      <c r="M404" s="98">
        <f>IF(VLOOKUP($D404,$C$5:$AJ$646,11,)=0,0,((VLOOKUP($D404,$C$5:$AJ$646,11,)/VLOOKUP($D404,$C$5:$AJ$646,4,))*$F404))</f>
        <v>0</v>
      </c>
      <c r="N404" s="98"/>
      <c r="O404" s="98">
        <f>IF(VLOOKUP($D404,$C$5:$AJ$646,13,)=0,0,((VLOOKUP($D404,$C$5:$AJ$646,13,)/VLOOKUP($D404,$C$5:$AJ$646,4,))*$F404))</f>
        <v>0</v>
      </c>
      <c r="P404" s="98">
        <f>IF(VLOOKUP($D404,$C$5:$AJ$646,14,)=0,0,((VLOOKUP($D404,$C$5:$AJ$646,14,)/VLOOKUP($D404,$C$5:$AJ$646,4,))*$F404))</f>
        <v>0</v>
      </c>
      <c r="Q404" s="98">
        <f>IF(VLOOKUP($D404,$C$5:$AJ$646,15,)=0,0,((VLOOKUP($D404,$C$5:$AJ$646,15,)/VLOOKUP($D404,$C$5:$AJ$646,4,))*$F404))</f>
        <v>0</v>
      </c>
      <c r="R404" s="98"/>
      <c r="S404" s="98">
        <f>IF(VLOOKUP($D404,$C$5:$AJ$646,17,)=0,0,((VLOOKUP($D404,$C$5:$AJ$646,17,)/VLOOKUP($D404,$C$5:$AJ$646,4,))*$F404))</f>
        <v>0</v>
      </c>
      <c r="T404" s="98">
        <f>IF(VLOOKUP($D404,$C$5:$AJ$646,18,)=0,0,((VLOOKUP($D404,$C$5:$AJ$646,18,)/VLOOKUP($D404,$C$5:$AJ$646,4,))*$F404))</f>
        <v>0</v>
      </c>
      <c r="U404" s="98">
        <f>IF(VLOOKUP($D404,$C$5:$AJ$646,19,)=0,0,((VLOOKUP($D404,$C$5:$AJ$646,19,)/VLOOKUP($D404,$C$5:$AJ$646,4,))*$F404))</f>
        <v>0</v>
      </c>
      <c r="V404" s="98">
        <f>IF(VLOOKUP($D404,$C$5:$AJ$646,20,)=0,0,((VLOOKUP($D404,$C$5:$AJ$646,20,)/VLOOKUP($D404,$C$5:$AJ$646,4,))*$F404))</f>
        <v>0</v>
      </c>
      <c r="W404" s="98">
        <f>IF(VLOOKUP($D404,$C$5:$AJ$646,21,)=0,0,((VLOOKUP($D404,$C$5:$AJ$646,21,)/VLOOKUP($D404,$C$5:$AJ$646,4,))*$F404))</f>
        <v>0</v>
      </c>
      <c r="X404" s="98">
        <f>IF(VLOOKUP($D404,$C$5:$AJ$646,22,)=0,0,((VLOOKUP($D404,$C$5:$AJ$646,22,)/VLOOKUP($D404,$C$5:$AJ$646,4,))*$F404))</f>
        <v>0</v>
      </c>
      <c r="Y404" s="98">
        <f>IF(VLOOKUP($D404,$C$5:$AJ$646,23,)=0,0,((VLOOKUP($D404,$C$5:$AJ$646,23,)/VLOOKUP($D404,$C$5:$AJ$646,4,))*$F404))</f>
        <v>0</v>
      </c>
      <c r="Z404" s="98">
        <f>IF(VLOOKUP($D404,$C$5:$AJ$646,24,)=0,0,((VLOOKUP($D404,$C$5:$AJ$646,24,)/VLOOKUP($D404,$C$5:$AJ$646,4,))*$F404))</f>
        <v>0</v>
      </c>
      <c r="AA404" s="98">
        <f>IF(VLOOKUP($D404,$C$5:$AJ$646,25,)=0,0,((VLOOKUP($D404,$C$5:$AJ$646,25,)/VLOOKUP($D404,$C$5:$AJ$646,4,))*$F404))</f>
        <v>0</v>
      </c>
      <c r="AB404" s="98">
        <f>IF(VLOOKUP($D404,$C$5:$AJ$646,26,)=0,0,((VLOOKUP($D404,$C$5:$AJ$646,26,)/VLOOKUP($D404,$C$5:$AJ$646,4,))*$F404))</f>
        <v>0</v>
      </c>
      <c r="AC404" s="98">
        <f>IF(VLOOKUP($D404,$C$5:$AJ$646,27,)=0,0,((VLOOKUP($D404,$C$5:$AJ$646,27,)/VLOOKUP($D404,$C$5:$AJ$646,4,))*$F404))</f>
        <v>0</v>
      </c>
      <c r="AD404" s="98">
        <f>IF(VLOOKUP($D404,$C$5:$AJ$646,28,)=0,0,((VLOOKUP($D404,$C$5:$AJ$646,28,)/VLOOKUP($D404,$C$5:$AJ$646,4,))*$F404))</f>
        <v>0</v>
      </c>
      <c r="AE404" s="98"/>
      <c r="AF404" s="98">
        <f>IF(VLOOKUP($D404,$C$5:$AJ$646,30,)=0,0,((VLOOKUP($D404,$C$5:$AJ$646,30,)/VLOOKUP($D404,$C$5:$AJ$646,4,))*$F404))</f>
        <v>0</v>
      </c>
      <c r="AG404" s="98"/>
      <c r="AH404" s="98">
        <f>IF(VLOOKUP($D404,$C$5:$AJ$646,32,)=0,0,((VLOOKUP($D404,$C$5:$AJ$646,32,)/VLOOKUP($D404,$C$5:$AJ$646,4,))*$F404))</f>
        <v>0</v>
      </c>
      <c r="AI404" s="98"/>
      <c r="AJ404" s="98">
        <f>IF(VLOOKUP($D404,$C$5:$AJ$646,34,)=0,0,((VLOOKUP($D404,$C$5:$AJ$646,34,)/VLOOKUP($D404,$C$5:$AJ$646,4,))*$F404))</f>
        <v>0</v>
      </c>
      <c r="AK404" s="98">
        <f t="shared" si="384"/>
        <v>18377.514975061327</v>
      </c>
      <c r="AL404" s="95" t="str">
        <f t="shared" si="385"/>
        <v>ok</v>
      </c>
    </row>
    <row r="405" spans="1:38" x14ac:dyDescent="0.25">
      <c r="A405" s="94">
        <v>550</v>
      </c>
      <c r="B405" s="94" t="s">
        <v>455</v>
      </c>
      <c r="C405" s="94" t="s">
        <v>2005</v>
      </c>
      <c r="D405" s="94" t="s">
        <v>885</v>
      </c>
      <c r="F405" s="98">
        <f>'Jurisdictional Study'!F1337</f>
        <v>0</v>
      </c>
      <c r="H405" s="98">
        <f>IF(VLOOKUP($D405,$C$5:$AJ$646,6,)=0,0,((VLOOKUP($D405,$C$5:$AJ$646,6,)/VLOOKUP($D405,$C$5:$AJ$646,4,))*$F405))</f>
        <v>0</v>
      </c>
      <c r="I405" s="98">
        <f>IF(VLOOKUP($D405,$C$5:$AJ$646,7,)=0,0,((VLOOKUP($D405,$C$5:$AJ$646,7,)/VLOOKUP($D405,$C$5:$AJ$646,4,))*$F405))</f>
        <v>0</v>
      </c>
      <c r="J405" s="98">
        <f>IF(VLOOKUP($D405,$C$5:$AJ$646,8,)=0,0,((VLOOKUP($D405,$C$5:$AJ$646,8,)/VLOOKUP($D405,$C$5:$AJ$646,4,))*$F405))</f>
        <v>0</v>
      </c>
      <c r="K405" s="98">
        <f>IF(VLOOKUP($D405,$C$5:$AJ$646,9,)=0,0,((VLOOKUP($D405,$C$5:$AJ$646,9,)/VLOOKUP($D405,$C$5:$AJ$646,4,))*$F405))</f>
        <v>0</v>
      </c>
      <c r="L405" s="98">
        <f>IF(VLOOKUP($D405,$C$5:$AJ$646,10,)=0,0,((VLOOKUP($D405,$C$5:$AJ$646,10,)/VLOOKUP($D405,$C$5:$AJ$646,4,))*$F405))</f>
        <v>0</v>
      </c>
      <c r="M405" s="98">
        <f>IF(VLOOKUP($D405,$C$5:$AJ$646,11,)=0,0,((VLOOKUP($D405,$C$5:$AJ$646,11,)/VLOOKUP($D405,$C$5:$AJ$646,4,))*$F405))</f>
        <v>0</v>
      </c>
      <c r="N405" s="98"/>
      <c r="O405" s="98">
        <f>IF(VLOOKUP($D405,$C$5:$AJ$646,13,)=0,0,((VLOOKUP($D405,$C$5:$AJ$646,13,)/VLOOKUP($D405,$C$5:$AJ$646,4,))*$F405))</f>
        <v>0</v>
      </c>
      <c r="P405" s="98">
        <f>IF(VLOOKUP($D405,$C$5:$AJ$646,14,)=0,0,((VLOOKUP($D405,$C$5:$AJ$646,14,)/VLOOKUP($D405,$C$5:$AJ$646,4,))*$F405))</f>
        <v>0</v>
      </c>
      <c r="Q405" s="98">
        <f>IF(VLOOKUP($D405,$C$5:$AJ$646,15,)=0,0,((VLOOKUP($D405,$C$5:$AJ$646,15,)/VLOOKUP($D405,$C$5:$AJ$646,4,))*$F405))</f>
        <v>0</v>
      </c>
      <c r="R405" s="98"/>
      <c r="S405" s="98">
        <f>IF(VLOOKUP($D405,$C$5:$AJ$646,17,)=0,0,((VLOOKUP($D405,$C$5:$AJ$646,17,)/VLOOKUP($D405,$C$5:$AJ$646,4,))*$F405))</f>
        <v>0</v>
      </c>
      <c r="T405" s="98">
        <f>IF(VLOOKUP($D405,$C$5:$AJ$646,18,)=0,0,((VLOOKUP($D405,$C$5:$AJ$646,18,)/VLOOKUP($D405,$C$5:$AJ$646,4,))*$F405))</f>
        <v>0</v>
      </c>
      <c r="U405" s="98">
        <f>IF(VLOOKUP($D405,$C$5:$AJ$646,19,)=0,0,((VLOOKUP($D405,$C$5:$AJ$646,19,)/VLOOKUP($D405,$C$5:$AJ$646,4,))*$F405))</f>
        <v>0</v>
      </c>
      <c r="V405" s="98">
        <f>IF(VLOOKUP($D405,$C$5:$AJ$646,20,)=0,0,((VLOOKUP($D405,$C$5:$AJ$646,20,)/VLOOKUP($D405,$C$5:$AJ$646,4,))*$F405))</f>
        <v>0</v>
      </c>
      <c r="W405" s="98">
        <f>IF(VLOOKUP($D405,$C$5:$AJ$646,21,)=0,0,((VLOOKUP($D405,$C$5:$AJ$646,21,)/VLOOKUP($D405,$C$5:$AJ$646,4,))*$F405))</f>
        <v>0</v>
      </c>
      <c r="X405" s="98">
        <f>IF(VLOOKUP($D405,$C$5:$AJ$646,22,)=0,0,((VLOOKUP($D405,$C$5:$AJ$646,22,)/VLOOKUP($D405,$C$5:$AJ$646,4,))*$F405))</f>
        <v>0</v>
      </c>
      <c r="Y405" s="98">
        <f>IF(VLOOKUP($D405,$C$5:$AJ$646,23,)=0,0,((VLOOKUP($D405,$C$5:$AJ$646,23,)/VLOOKUP($D405,$C$5:$AJ$646,4,))*$F405))</f>
        <v>0</v>
      </c>
      <c r="Z405" s="98">
        <f>IF(VLOOKUP($D405,$C$5:$AJ$646,24,)=0,0,((VLOOKUP($D405,$C$5:$AJ$646,24,)/VLOOKUP($D405,$C$5:$AJ$646,4,))*$F405))</f>
        <v>0</v>
      </c>
      <c r="AA405" s="98">
        <f>IF(VLOOKUP($D405,$C$5:$AJ$646,25,)=0,0,((VLOOKUP($D405,$C$5:$AJ$646,25,)/VLOOKUP($D405,$C$5:$AJ$646,4,))*$F405))</f>
        <v>0</v>
      </c>
      <c r="AB405" s="98">
        <f>IF(VLOOKUP($D405,$C$5:$AJ$646,26,)=0,0,((VLOOKUP($D405,$C$5:$AJ$646,26,)/VLOOKUP($D405,$C$5:$AJ$646,4,))*$F405))</f>
        <v>0</v>
      </c>
      <c r="AC405" s="98">
        <f>IF(VLOOKUP($D405,$C$5:$AJ$646,27,)=0,0,((VLOOKUP($D405,$C$5:$AJ$646,27,)/VLOOKUP($D405,$C$5:$AJ$646,4,))*$F405))</f>
        <v>0</v>
      </c>
      <c r="AD405" s="98">
        <f>IF(VLOOKUP($D405,$C$5:$AJ$646,28,)=0,0,((VLOOKUP($D405,$C$5:$AJ$646,28,)/VLOOKUP($D405,$C$5:$AJ$646,4,))*$F405))</f>
        <v>0</v>
      </c>
      <c r="AE405" s="98"/>
      <c r="AF405" s="98">
        <f>IF(VLOOKUP($D405,$C$5:$AJ$646,30,)=0,0,((VLOOKUP($D405,$C$5:$AJ$646,30,)/VLOOKUP($D405,$C$5:$AJ$646,4,))*$F405))</f>
        <v>0</v>
      </c>
      <c r="AG405" s="98"/>
      <c r="AH405" s="98">
        <f>IF(VLOOKUP($D405,$C$5:$AJ$646,32,)=0,0,((VLOOKUP($D405,$C$5:$AJ$646,32,)/VLOOKUP($D405,$C$5:$AJ$646,4,))*$F405))</f>
        <v>0</v>
      </c>
      <c r="AI405" s="98"/>
      <c r="AJ405" s="98">
        <f>IF(VLOOKUP($D405,$C$5:$AJ$646,34,)=0,0,((VLOOKUP($D405,$C$5:$AJ$646,34,)/VLOOKUP($D405,$C$5:$AJ$646,4,))*$F405))</f>
        <v>0</v>
      </c>
      <c r="AK405" s="98">
        <f t="shared" si="384"/>
        <v>0</v>
      </c>
      <c r="AL405" s="95" t="str">
        <f t="shared" si="385"/>
        <v>ok</v>
      </c>
    </row>
    <row r="406" spans="1:38" x14ac:dyDescent="0.25">
      <c r="F406" s="97"/>
      <c r="Y406" s="94"/>
      <c r="AK406" s="98"/>
      <c r="AL406" s="95"/>
    </row>
    <row r="407" spans="1:38" x14ac:dyDescent="0.25">
      <c r="B407" s="94" t="s">
        <v>1952</v>
      </c>
      <c r="C407" s="94" t="s">
        <v>888</v>
      </c>
      <c r="F407" s="97">
        <f>SUM(F401:F406)</f>
        <v>398720.15262326441</v>
      </c>
      <c r="H407" s="97">
        <f t="shared" ref="H407:M407" si="386">SUM(H401:H406)</f>
        <v>136978.90382454064</v>
      </c>
      <c r="I407" s="97">
        <f t="shared" si="386"/>
        <v>129126.96466886089</v>
      </c>
      <c r="J407" s="97">
        <f t="shared" si="386"/>
        <v>132614.28412986285</v>
      </c>
      <c r="K407" s="97">
        <f t="shared" si="386"/>
        <v>0</v>
      </c>
      <c r="L407" s="97">
        <f t="shared" si="386"/>
        <v>0</v>
      </c>
      <c r="M407" s="97">
        <f t="shared" si="386"/>
        <v>0</v>
      </c>
      <c r="O407" s="97">
        <f>SUM(O401:O406)</f>
        <v>0</v>
      </c>
      <c r="P407" s="97">
        <f>SUM(P401:P406)</f>
        <v>0</v>
      </c>
      <c r="Q407" s="97">
        <f>SUM(Q401:Q406)</f>
        <v>0</v>
      </c>
      <c r="S407" s="97">
        <f t="shared" ref="S407:AD407" si="387">SUM(S401:S406)</f>
        <v>0</v>
      </c>
      <c r="T407" s="97">
        <f t="shared" si="387"/>
        <v>0</v>
      </c>
      <c r="U407" s="97">
        <f t="shared" si="387"/>
        <v>0</v>
      </c>
      <c r="V407" s="97">
        <f t="shared" si="387"/>
        <v>0</v>
      </c>
      <c r="W407" s="97">
        <f t="shared" si="387"/>
        <v>0</v>
      </c>
      <c r="X407" s="97">
        <f t="shared" si="387"/>
        <v>0</v>
      </c>
      <c r="Y407" s="97">
        <f t="shared" si="387"/>
        <v>0</v>
      </c>
      <c r="Z407" s="97">
        <f t="shared" si="387"/>
        <v>0</v>
      </c>
      <c r="AA407" s="97">
        <f t="shared" si="387"/>
        <v>0</v>
      </c>
      <c r="AB407" s="97">
        <f t="shared" si="387"/>
        <v>0</v>
      </c>
      <c r="AC407" s="97">
        <f t="shared" si="387"/>
        <v>0</v>
      </c>
      <c r="AD407" s="97">
        <f t="shared" si="387"/>
        <v>0</v>
      </c>
      <c r="AF407" s="97">
        <f>SUM(AF401:AF406)</f>
        <v>0</v>
      </c>
      <c r="AH407" s="97">
        <f>SUM(AH401:AH406)</f>
        <v>0</v>
      </c>
      <c r="AJ407" s="97">
        <f>SUM(AJ401:AJ406)</f>
        <v>0</v>
      </c>
      <c r="AK407" s="98">
        <f t="shared" si="384"/>
        <v>398720.15262326441</v>
      </c>
      <c r="AL407" s="95" t="str">
        <f t="shared" si="385"/>
        <v>ok</v>
      </c>
    </row>
    <row r="408" spans="1:38" x14ac:dyDescent="0.25">
      <c r="F408" s="97"/>
      <c r="Y408" s="94"/>
      <c r="AK408" s="98"/>
      <c r="AL408" s="95"/>
    </row>
    <row r="409" spans="1:38" x14ac:dyDescent="0.25">
      <c r="A409" s="15" t="s">
        <v>1253</v>
      </c>
      <c r="F409" s="97"/>
      <c r="Y409" s="94"/>
      <c r="AK409" s="98"/>
      <c r="AL409" s="95"/>
    </row>
    <row r="410" spans="1:38" x14ac:dyDescent="0.25">
      <c r="F410" s="97"/>
      <c r="Y410" s="94"/>
      <c r="AK410" s="98"/>
      <c r="AL410" s="95"/>
    </row>
    <row r="411" spans="1:38" x14ac:dyDescent="0.25">
      <c r="A411" s="16" t="s">
        <v>1953</v>
      </c>
      <c r="F411" s="97"/>
      <c r="Y411" s="94"/>
      <c r="AK411" s="98"/>
      <c r="AL411" s="95"/>
    </row>
    <row r="412" spans="1:38" x14ac:dyDescent="0.25">
      <c r="A412" s="94">
        <v>551</v>
      </c>
      <c r="B412" s="94" t="s">
        <v>726</v>
      </c>
      <c r="C412" s="94" t="s">
        <v>2006</v>
      </c>
      <c r="D412" s="94" t="s">
        <v>885</v>
      </c>
      <c r="F412" s="97">
        <f>'Jurisdictional Study'!F1338</f>
        <v>35796.396823094787</v>
      </c>
      <c r="H412" s="98">
        <f>IF(VLOOKUP($D412,$C$5:$AJ$646,6,)=0,0,((VLOOKUP($D412,$C$5:$AJ$646,6,)/VLOOKUP($D412,$C$5:$AJ$646,4,))*$F412))</f>
        <v>12297.72602522247</v>
      </c>
      <c r="I412" s="98">
        <f>IF(VLOOKUP($D412,$C$5:$AJ$646,7,)=0,0,((VLOOKUP($D412,$C$5:$AJ$646,7,)/VLOOKUP($D412,$C$5:$AJ$646,4,))*$F412))</f>
        <v>11592.792682881276</v>
      </c>
      <c r="J412" s="98">
        <f>IF(VLOOKUP($D412,$C$5:$AJ$646,8,)=0,0,((VLOOKUP($D412,$C$5:$AJ$646,8,)/VLOOKUP($D412,$C$5:$AJ$646,4,))*$F412))</f>
        <v>11905.878114991041</v>
      </c>
      <c r="K412" s="98">
        <f>IF(VLOOKUP($D412,$C$5:$AJ$646,9,)=0,0,((VLOOKUP($D412,$C$5:$AJ$646,9,)/VLOOKUP($D412,$C$5:$AJ$646,4,))*$F412))</f>
        <v>0</v>
      </c>
      <c r="L412" s="98">
        <f>IF(VLOOKUP($D412,$C$5:$AJ$646,10,)=0,0,((VLOOKUP($D412,$C$5:$AJ$646,10,)/VLOOKUP($D412,$C$5:$AJ$646,4,))*$F412))</f>
        <v>0</v>
      </c>
      <c r="M412" s="98">
        <f>IF(VLOOKUP($D412,$C$5:$AJ$646,11,)=0,0,((VLOOKUP($D412,$C$5:$AJ$646,11,)/VLOOKUP($D412,$C$5:$AJ$646,4,))*$F412))</f>
        <v>0</v>
      </c>
      <c r="N412" s="98"/>
      <c r="O412" s="98">
        <f>IF(VLOOKUP($D412,$C$5:$AJ$646,13,)=0,0,((VLOOKUP($D412,$C$5:$AJ$646,13,)/VLOOKUP($D412,$C$5:$AJ$646,4,))*$F412))</f>
        <v>0</v>
      </c>
      <c r="P412" s="98">
        <f>IF(VLOOKUP($D412,$C$5:$AJ$646,14,)=0,0,((VLOOKUP($D412,$C$5:$AJ$646,14,)/VLOOKUP($D412,$C$5:$AJ$646,4,))*$F412))</f>
        <v>0</v>
      </c>
      <c r="Q412" s="98">
        <f>IF(VLOOKUP($D412,$C$5:$AJ$646,15,)=0,0,((VLOOKUP($D412,$C$5:$AJ$646,15,)/VLOOKUP($D412,$C$5:$AJ$646,4,))*$F412))</f>
        <v>0</v>
      </c>
      <c r="R412" s="98"/>
      <c r="S412" s="98">
        <f>IF(VLOOKUP($D412,$C$5:$AJ$646,17,)=0,0,((VLOOKUP($D412,$C$5:$AJ$646,17,)/VLOOKUP($D412,$C$5:$AJ$646,4,))*$F412))</f>
        <v>0</v>
      </c>
      <c r="T412" s="98">
        <f>IF(VLOOKUP($D412,$C$5:$AJ$646,18,)=0,0,((VLOOKUP($D412,$C$5:$AJ$646,18,)/VLOOKUP($D412,$C$5:$AJ$646,4,))*$F412))</f>
        <v>0</v>
      </c>
      <c r="U412" s="98">
        <f>IF(VLOOKUP($D412,$C$5:$AJ$646,19,)=0,0,((VLOOKUP($D412,$C$5:$AJ$646,19,)/VLOOKUP($D412,$C$5:$AJ$646,4,))*$F412))</f>
        <v>0</v>
      </c>
      <c r="V412" s="98">
        <f>IF(VLOOKUP($D412,$C$5:$AJ$646,20,)=0,0,((VLOOKUP($D412,$C$5:$AJ$646,20,)/VLOOKUP($D412,$C$5:$AJ$646,4,))*$F412))</f>
        <v>0</v>
      </c>
      <c r="W412" s="98">
        <f>IF(VLOOKUP($D412,$C$5:$AJ$646,21,)=0,0,((VLOOKUP($D412,$C$5:$AJ$646,21,)/VLOOKUP($D412,$C$5:$AJ$646,4,))*$F412))</f>
        <v>0</v>
      </c>
      <c r="X412" s="98">
        <f>IF(VLOOKUP($D412,$C$5:$AJ$646,22,)=0,0,((VLOOKUP($D412,$C$5:$AJ$646,22,)/VLOOKUP($D412,$C$5:$AJ$646,4,))*$F412))</f>
        <v>0</v>
      </c>
      <c r="Y412" s="98">
        <f>IF(VLOOKUP($D412,$C$5:$AJ$646,23,)=0,0,((VLOOKUP($D412,$C$5:$AJ$646,23,)/VLOOKUP($D412,$C$5:$AJ$646,4,))*$F412))</f>
        <v>0</v>
      </c>
      <c r="Z412" s="98">
        <f>IF(VLOOKUP($D412,$C$5:$AJ$646,24,)=0,0,((VLOOKUP($D412,$C$5:$AJ$646,24,)/VLOOKUP($D412,$C$5:$AJ$646,4,))*$F412))</f>
        <v>0</v>
      </c>
      <c r="AA412" s="98">
        <f>IF(VLOOKUP($D412,$C$5:$AJ$646,25,)=0,0,((VLOOKUP($D412,$C$5:$AJ$646,25,)/VLOOKUP($D412,$C$5:$AJ$646,4,))*$F412))</f>
        <v>0</v>
      </c>
      <c r="AB412" s="98">
        <f>IF(VLOOKUP($D412,$C$5:$AJ$646,26,)=0,0,((VLOOKUP($D412,$C$5:$AJ$646,26,)/VLOOKUP($D412,$C$5:$AJ$646,4,))*$F412))</f>
        <v>0</v>
      </c>
      <c r="AC412" s="98">
        <f>IF(VLOOKUP($D412,$C$5:$AJ$646,27,)=0,0,((VLOOKUP($D412,$C$5:$AJ$646,27,)/VLOOKUP($D412,$C$5:$AJ$646,4,))*$F412))</f>
        <v>0</v>
      </c>
      <c r="AD412" s="98">
        <f>IF(VLOOKUP($D412,$C$5:$AJ$646,28,)=0,0,((VLOOKUP($D412,$C$5:$AJ$646,28,)/VLOOKUP($D412,$C$5:$AJ$646,4,))*$F412))</f>
        <v>0</v>
      </c>
      <c r="AE412" s="98"/>
      <c r="AF412" s="98">
        <f>IF(VLOOKUP($D412,$C$5:$AJ$646,30,)=0,0,((VLOOKUP($D412,$C$5:$AJ$646,30,)/VLOOKUP($D412,$C$5:$AJ$646,4,))*$F412))</f>
        <v>0</v>
      </c>
      <c r="AG412" s="98"/>
      <c r="AH412" s="98">
        <f>IF(VLOOKUP($D412,$C$5:$AJ$646,32,)=0,0,((VLOOKUP($D412,$C$5:$AJ$646,32,)/VLOOKUP($D412,$C$5:$AJ$646,4,))*$F412))</f>
        <v>0</v>
      </c>
      <c r="AI412" s="98"/>
      <c r="AJ412" s="98">
        <f>IF(VLOOKUP($D412,$C$5:$AJ$646,34,)=0,0,((VLOOKUP($D412,$C$5:$AJ$646,34,)/VLOOKUP($D412,$C$5:$AJ$646,4,))*$F412))</f>
        <v>0</v>
      </c>
      <c r="AK412" s="98">
        <f t="shared" ref="AK412:AK419" si="388">SUM(H412:AJ412)</f>
        <v>35796.396823094787</v>
      </c>
      <c r="AL412" s="95" t="str">
        <f t="shared" ref="AL412:AL419" si="389">IF(ABS(AK412-F412)&lt;1,"ok","err")</f>
        <v>ok</v>
      </c>
    </row>
    <row r="413" spans="1:38" x14ac:dyDescent="0.25">
      <c r="A413" s="94">
        <v>552</v>
      </c>
      <c r="B413" s="94" t="s">
        <v>725</v>
      </c>
      <c r="C413" s="94" t="s">
        <v>2007</v>
      </c>
      <c r="D413" s="94" t="s">
        <v>885</v>
      </c>
      <c r="F413" s="98">
        <f>'Jurisdictional Study'!F1339</f>
        <v>111974.87563394422</v>
      </c>
      <c r="H413" s="98">
        <f>IF(VLOOKUP($D413,$C$5:$AJ$646,6,)=0,0,((VLOOKUP($D413,$C$5:$AJ$646,6,)/VLOOKUP($D413,$C$5:$AJ$646,4,))*$F413))</f>
        <v>38468.574059559578</v>
      </c>
      <c r="I413" s="98">
        <f>IF(VLOOKUP($D413,$C$5:$AJ$646,7,)=0,0,((VLOOKUP($D413,$C$5:$AJ$646,7,)/VLOOKUP($D413,$C$5:$AJ$646,4,))*$F413))</f>
        <v>36263.468787960031</v>
      </c>
      <c r="J413" s="98">
        <f>IF(VLOOKUP($D413,$C$5:$AJ$646,8,)=0,0,((VLOOKUP($D413,$C$5:$AJ$646,8,)/VLOOKUP($D413,$C$5:$AJ$646,4,))*$F413))</f>
        <v>37242.832786424609</v>
      </c>
      <c r="K413" s="98">
        <f>IF(VLOOKUP($D413,$C$5:$AJ$646,9,)=0,0,((VLOOKUP($D413,$C$5:$AJ$646,9,)/VLOOKUP($D413,$C$5:$AJ$646,4,))*$F413))</f>
        <v>0</v>
      </c>
      <c r="L413" s="98">
        <f>IF(VLOOKUP($D413,$C$5:$AJ$646,10,)=0,0,((VLOOKUP($D413,$C$5:$AJ$646,10,)/VLOOKUP($D413,$C$5:$AJ$646,4,))*$F413))</f>
        <v>0</v>
      </c>
      <c r="M413" s="98">
        <f>IF(VLOOKUP($D413,$C$5:$AJ$646,11,)=0,0,((VLOOKUP($D413,$C$5:$AJ$646,11,)/VLOOKUP($D413,$C$5:$AJ$646,4,))*$F413))</f>
        <v>0</v>
      </c>
      <c r="N413" s="98"/>
      <c r="O413" s="98">
        <f>IF(VLOOKUP($D413,$C$5:$AJ$646,13,)=0,0,((VLOOKUP($D413,$C$5:$AJ$646,13,)/VLOOKUP($D413,$C$5:$AJ$646,4,))*$F413))</f>
        <v>0</v>
      </c>
      <c r="P413" s="98">
        <f>IF(VLOOKUP($D413,$C$5:$AJ$646,14,)=0,0,((VLOOKUP($D413,$C$5:$AJ$646,14,)/VLOOKUP($D413,$C$5:$AJ$646,4,))*$F413))</f>
        <v>0</v>
      </c>
      <c r="Q413" s="98">
        <f>IF(VLOOKUP($D413,$C$5:$AJ$646,15,)=0,0,((VLOOKUP($D413,$C$5:$AJ$646,15,)/VLOOKUP($D413,$C$5:$AJ$646,4,))*$F413))</f>
        <v>0</v>
      </c>
      <c r="R413" s="98"/>
      <c r="S413" s="98">
        <f>IF(VLOOKUP($D413,$C$5:$AJ$646,17,)=0,0,((VLOOKUP($D413,$C$5:$AJ$646,17,)/VLOOKUP($D413,$C$5:$AJ$646,4,))*$F413))</f>
        <v>0</v>
      </c>
      <c r="T413" s="98">
        <f>IF(VLOOKUP($D413,$C$5:$AJ$646,18,)=0,0,((VLOOKUP($D413,$C$5:$AJ$646,18,)/VLOOKUP($D413,$C$5:$AJ$646,4,))*$F413))</f>
        <v>0</v>
      </c>
      <c r="U413" s="98">
        <f>IF(VLOOKUP($D413,$C$5:$AJ$646,19,)=0,0,((VLOOKUP($D413,$C$5:$AJ$646,19,)/VLOOKUP($D413,$C$5:$AJ$646,4,))*$F413))</f>
        <v>0</v>
      </c>
      <c r="V413" s="98">
        <f>IF(VLOOKUP($D413,$C$5:$AJ$646,20,)=0,0,((VLOOKUP($D413,$C$5:$AJ$646,20,)/VLOOKUP($D413,$C$5:$AJ$646,4,))*$F413))</f>
        <v>0</v>
      </c>
      <c r="W413" s="98">
        <f>IF(VLOOKUP($D413,$C$5:$AJ$646,21,)=0,0,((VLOOKUP($D413,$C$5:$AJ$646,21,)/VLOOKUP($D413,$C$5:$AJ$646,4,))*$F413))</f>
        <v>0</v>
      </c>
      <c r="X413" s="98">
        <f>IF(VLOOKUP($D413,$C$5:$AJ$646,22,)=0,0,((VLOOKUP($D413,$C$5:$AJ$646,22,)/VLOOKUP($D413,$C$5:$AJ$646,4,))*$F413))</f>
        <v>0</v>
      </c>
      <c r="Y413" s="98">
        <f>IF(VLOOKUP($D413,$C$5:$AJ$646,23,)=0,0,((VLOOKUP($D413,$C$5:$AJ$646,23,)/VLOOKUP($D413,$C$5:$AJ$646,4,))*$F413))</f>
        <v>0</v>
      </c>
      <c r="Z413" s="98">
        <f>IF(VLOOKUP($D413,$C$5:$AJ$646,24,)=0,0,((VLOOKUP($D413,$C$5:$AJ$646,24,)/VLOOKUP($D413,$C$5:$AJ$646,4,))*$F413))</f>
        <v>0</v>
      </c>
      <c r="AA413" s="98">
        <f>IF(VLOOKUP($D413,$C$5:$AJ$646,25,)=0,0,((VLOOKUP($D413,$C$5:$AJ$646,25,)/VLOOKUP($D413,$C$5:$AJ$646,4,))*$F413))</f>
        <v>0</v>
      </c>
      <c r="AB413" s="98">
        <f>IF(VLOOKUP($D413,$C$5:$AJ$646,26,)=0,0,((VLOOKUP($D413,$C$5:$AJ$646,26,)/VLOOKUP($D413,$C$5:$AJ$646,4,))*$F413))</f>
        <v>0</v>
      </c>
      <c r="AC413" s="98">
        <f>IF(VLOOKUP($D413,$C$5:$AJ$646,27,)=0,0,((VLOOKUP($D413,$C$5:$AJ$646,27,)/VLOOKUP($D413,$C$5:$AJ$646,4,))*$F413))</f>
        <v>0</v>
      </c>
      <c r="AD413" s="98">
        <f>IF(VLOOKUP($D413,$C$5:$AJ$646,28,)=0,0,((VLOOKUP($D413,$C$5:$AJ$646,28,)/VLOOKUP($D413,$C$5:$AJ$646,4,))*$F413))</f>
        <v>0</v>
      </c>
      <c r="AE413" s="98"/>
      <c r="AF413" s="98">
        <f>IF(VLOOKUP($D413,$C$5:$AJ$646,30,)=0,0,((VLOOKUP($D413,$C$5:$AJ$646,30,)/VLOOKUP($D413,$C$5:$AJ$646,4,))*$F413))</f>
        <v>0</v>
      </c>
      <c r="AG413" s="98"/>
      <c r="AH413" s="98">
        <f>IF(VLOOKUP($D413,$C$5:$AJ$646,32,)=0,0,((VLOOKUP($D413,$C$5:$AJ$646,32,)/VLOOKUP($D413,$C$5:$AJ$646,4,))*$F413))</f>
        <v>0</v>
      </c>
      <c r="AI413" s="98"/>
      <c r="AJ413" s="98">
        <f>IF(VLOOKUP($D413,$C$5:$AJ$646,34,)=0,0,((VLOOKUP($D413,$C$5:$AJ$646,34,)/VLOOKUP($D413,$C$5:$AJ$646,4,))*$F413))</f>
        <v>0</v>
      </c>
      <c r="AK413" s="98">
        <f t="shared" si="388"/>
        <v>111974.87563394422</v>
      </c>
      <c r="AL413" s="95" t="str">
        <f t="shared" si="389"/>
        <v>ok</v>
      </c>
    </row>
    <row r="414" spans="1:38" x14ac:dyDescent="0.25">
      <c r="A414" s="94">
        <v>553</v>
      </c>
      <c r="B414" s="94" t="s">
        <v>1956</v>
      </c>
      <c r="C414" s="94" t="s">
        <v>2008</v>
      </c>
      <c r="D414" s="94" t="s">
        <v>885</v>
      </c>
      <c r="F414" s="98">
        <f>'Jurisdictional Study'!F1340</f>
        <v>546106.40535708168</v>
      </c>
      <c r="H414" s="98">
        <f>IF(VLOOKUP($D414,$C$5:$AJ$646,6,)=0,0,((VLOOKUP($D414,$C$5:$AJ$646,6,)/VLOOKUP($D414,$C$5:$AJ$646,4,))*$F414))</f>
        <v>187612.93173975527</v>
      </c>
      <c r="I414" s="98">
        <f>IF(VLOOKUP($D414,$C$5:$AJ$646,7,)=0,0,((VLOOKUP($D414,$C$5:$AJ$646,7,)/VLOOKUP($D414,$C$5:$AJ$646,4,))*$F414))</f>
        <v>176858.5361086863</v>
      </c>
      <c r="J414" s="98">
        <f>IF(VLOOKUP($D414,$C$5:$AJ$646,8,)=0,0,((VLOOKUP($D414,$C$5:$AJ$646,8,)/VLOOKUP($D414,$C$5:$AJ$646,4,))*$F414))</f>
        <v>181634.93750864011</v>
      </c>
      <c r="K414" s="98">
        <f>IF(VLOOKUP($D414,$C$5:$AJ$646,9,)=0,0,((VLOOKUP($D414,$C$5:$AJ$646,9,)/VLOOKUP($D414,$C$5:$AJ$646,4,))*$F414))</f>
        <v>0</v>
      </c>
      <c r="L414" s="98">
        <f>IF(VLOOKUP($D414,$C$5:$AJ$646,10,)=0,0,((VLOOKUP($D414,$C$5:$AJ$646,10,)/VLOOKUP($D414,$C$5:$AJ$646,4,))*$F414))</f>
        <v>0</v>
      </c>
      <c r="M414" s="98">
        <f>IF(VLOOKUP($D414,$C$5:$AJ$646,11,)=0,0,((VLOOKUP($D414,$C$5:$AJ$646,11,)/VLOOKUP($D414,$C$5:$AJ$646,4,))*$F414))</f>
        <v>0</v>
      </c>
      <c r="N414" s="98"/>
      <c r="O414" s="98">
        <f>IF(VLOOKUP($D414,$C$5:$AJ$646,13,)=0,0,((VLOOKUP($D414,$C$5:$AJ$646,13,)/VLOOKUP($D414,$C$5:$AJ$646,4,))*$F414))</f>
        <v>0</v>
      </c>
      <c r="P414" s="98">
        <f>IF(VLOOKUP($D414,$C$5:$AJ$646,14,)=0,0,((VLOOKUP($D414,$C$5:$AJ$646,14,)/VLOOKUP($D414,$C$5:$AJ$646,4,))*$F414))</f>
        <v>0</v>
      </c>
      <c r="Q414" s="98">
        <f>IF(VLOOKUP($D414,$C$5:$AJ$646,15,)=0,0,((VLOOKUP($D414,$C$5:$AJ$646,15,)/VLOOKUP($D414,$C$5:$AJ$646,4,))*$F414))</f>
        <v>0</v>
      </c>
      <c r="R414" s="98"/>
      <c r="S414" s="98">
        <f>IF(VLOOKUP($D414,$C$5:$AJ$646,17,)=0,0,((VLOOKUP($D414,$C$5:$AJ$646,17,)/VLOOKUP($D414,$C$5:$AJ$646,4,))*$F414))</f>
        <v>0</v>
      </c>
      <c r="T414" s="98">
        <f>IF(VLOOKUP($D414,$C$5:$AJ$646,18,)=0,0,((VLOOKUP($D414,$C$5:$AJ$646,18,)/VLOOKUP($D414,$C$5:$AJ$646,4,))*$F414))</f>
        <v>0</v>
      </c>
      <c r="U414" s="98">
        <f>IF(VLOOKUP($D414,$C$5:$AJ$646,19,)=0,0,((VLOOKUP($D414,$C$5:$AJ$646,19,)/VLOOKUP($D414,$C$5:$AJ$646,4,))*$F414))</f>
        <v>0</v>
      </c>
      <c r="V414" s="98">
        <f>IF(VLOOKUP($D414,$C$5:$AJ$646,20,)=0,0,((VLOOKUP($D414,$C$5:$AJ$646,20,)/VLOOKUP($D414,$C$5:$AJ$646,4,))*$F414))</f>
        <v>0</v>
      </c>
      <c r="W414" s="98">
        <f>IF(VLOOKUP($D414,$C$5:$AJ$646,21,)=0,0,((VLOOKUP($D414,$C$5:$AJ$646,21,)/VLOOKUP($D414,$C$5:$AJ$646,4,))*$F414))</f>
        <v>0</v>
      </c>
      <c r="X414" s="98">
        <f>IF(VLOOKUP($D414,$C$5:$AJ$646,22,)=0,0,((VLOOKUP($D414,$C$5:$AJ$646,22,)/VLOOKUP($D414,$C$5:$AJ$646,4,))*$F414))</f>
        <v>0</v>
      </c>
      <c r="Y414" s="98">
        <f>IF(VLOOKUP($D414,$C$5:$AJ$646,23,)=0,0,((VLOOKUP($D414,$C$5:$AJ$646,23,)/VLOOKUP($D414,$C$5:$AJ$646,4,))*$F414))</f>
        <v>0</v>
      </c>
      <c r="Z414" s="98">
        <f>IF(VLOOKUP($D414,$C$5:$AJ$646,24,)=0,0,((VLOOKUP($D414,$C$5:$AJ$646,24,)/VLOOKUP($D414,$C$5:$AJ$646,4,))*$F414))</f>
        <v>0</v>
      </c>
      <c r="AA414" s="98">
        <f>IF(VLOOKUP($D414,$C$5:$AJ$646,25,)=0,0,((VLOOKUP($D414,$C$5:$AJ$646,25,)/VLOOKUP($D414,$C$5:$AJ$646,4,))*$F414))</f>
        <v>0</v>
      </c>
      <c r="AB414" s="98">
        <f>IF(VLOOKUP($D414,$C$5:$AJ$646,26,)=0,0,((VLOOKUP($D414,$C$5:$AJ$646,26,)/VLOOKUP($D414,$C$5:$AJ$646,4,))*$F414))</f>
        <v>0</v>
      </c>
      <c r="AC414" s="98">
        <f>IF(VLOOKUP($D414,$C$5:$AJ$646,27,)=0,0,((VLOOKUP($D414,$C$5:$AJ$646,27,)/VLOOKUP($D414,$C$5:$AJ$646,4,))*$F414))</f>
        <v>0</v>
      </c>
      <c r="AD414" s="98">
        <f>IF(VLOOKUP($D414,$C$5:$AJ$646,28,)=0,0,((VLOOKUP($D414,$C$5:$AJ$646,28,)/VLOOKUP($D414,$C$5:$AJ$646,4,))*$F414))</f>
        <v>0</v>
      </c>
      <c r="AE414" s="98"/>
      <c r="AF414" s="98">
        <f>IF(VLOOKUP($D414,$C$5:$AJ$646,30,)=0,0,((VLOOKUP($D414,$C$5:$AJ$646,30,)/VLOOKUP($D414,$C$5:$AJ$646,4,))*$F414))</f>
        <v>0</v>
      </c>
      <c r="AG414" s="98"/>
      <c r="AH414" s="98">
        <f>IF(VLOOKUP($D414,$C$5:$AJ$646,32,)=0,0,((VLOOKUP($D414,$C$5:$AJ$646,32,)/VLOOKUP($D414,$C$5:$AJ$646,4,))*$F414))</f>
        <v>0</v>
      </c>
      <c r="AI414" s="98"/>
      <c r="AJ414" s="98">
        <f>IF(VLOOKUP($D414,$C$5:$AJ$646,34,)=0,0,((VLOOKUP($D414,$C$5:$AJ$646,34,)/VLOOKUP($D414,$C$5:$AJ$646,4,))*$F414))</f>
        <v>0</v>
      </c>
      <c r="AK414" s="98">
        <f t="shared" si="388"/>
        <v>546106.40535708168</v>
      </c>
      <c r="AL414" s="95" t="str">
        <f t="shared" si="389"/>
        <v>ok</v>
      </c>
    </row>
    <row r="415" spans="1:38" x14ac:dyDescent="0.25">
      <c r="A415" s="94">
        <v>554</v>
      </c>
      <c r="B415" s="94" t="s">
        <v>1958</v>
      </c>
      <c r="C415" s="94" t="s">
        <v>2009</v>
      </c>
      <c r="D415" s="94" t="s">
        <v>885</v>
      </c>
      <c r="F415" s="98">
        <f>'Jurisdictional Study'!F1341</f>
        <v>74961.334889465274</v>
      </c>
      <c r="H415" s="98">
        <f>IF(VLOOKUP($D415,$C$5:$AJ$646,6,)=0,0,((VLOOKUP($D415,$C$5:$AJ$646,6,)/VLOOKUP($D415,$C$5:$AJ$646,4,))*$F415))</f>
        <v>25752.702527893562</v>
      </c>
      <c r="I415" s="98">
        <f>IF(VLOOKUP($D415,$C$5:$AJ$646,7,)=0,0,((VLOOKUP($D415,$C$5:$AJ$646,7,)/VLOOKUP($D415,$C$5:$AJ$646,4,))*$F415))</f>
        <v>24276.499640459493</v>
      </c>
      <c r="J415" s="98">
        <f>IF(VLOOKUP($D415,$C$5:$AJ$646,8,)=0,0,((VLOOKUP($D415,$C$5:$AJ$646,8,)/VLOOKUP($D415,$C$5:$AJ$646,4,))*$F415))</f>
        <v>24932.132721112219</v>
      </c>
      <c r="K415" s="98">
        <f>IF(VLOOKUP($D415,$C$5:$AJ$646,9,)=0,0,((VLOOKUP($D415,$C$5:$AJ$646,9,)/VLOOKUP($D415,$C$5:$AJ$646,4,))*$F415))</f>
        <v>0</v>
      </c>
      <c r="L415" s="98">
        <f>IF(VLOOKUP($D415,$C$5:$AJ$646,10,)=0,0,((VLOOKUP($D415,$C$5:$AJ$646,10,)/VLOOKUP($D415,$C$5:$AJ$646,4,))*$F415))</f>
        <v>0</v>
      </c>
      <c r="M415" s="98">
        <f>IF(VLOOKUP($D415,$C$5:$AJ$646,11,)=0,0,((VLOOKUP($D415,$C$5:$AJ$646,11,)/VLOOKUP($D415,$C$5:$AJ$646,4,))*$F415))</f>
        <v>0</v>
      </c>
      <c r="N415" s="98"/>
      <c r="O415" s="98">
        <f>IF(VLOOKUP($D415,$C$5:$AJ$646,13,)=0,0,((VLOOKUP($D415,$C$5:$AJ$646,13,)/VLOOKUP($D415,$C$5:$AJ$646,4,))*$F415))</f>
        <v>0</v>
      </c>
      <c r="P415" s="98">
        <f>IF(VLOOKUP($D415,$C$5:$AJ$646,14,)=0,0,((VLOOKUP($D415,$C$5:$AJ$646,14,)/VLOOKUP($D415,$C$5:$AJ$646,4,))*$F415))</f>
        <v>0</v>
      </c>
      <c r="Q415" s="98">
        <f>IF(VLOOKUP($D415,$C$5:$AJ$646,15,)=0,0,((VLOOKUP($D415,$C$5:$AJ$646,15,)/VLOOKUP($D415,$C$5:$AJ$646,4,))*$F415))</f>
        <v>0</v>
      </c>
      <c r="R415" s="98"/>
      <c r="S415" s="98">
        <f>IF(VLOOKUP($D415,$C$5:$AJ$646,17,)=0,0,((VLOOKUP($D415,$C$5:$AJ$646,17,)/VLOOKUP($D415,$C$5:$AJ$646,4,))*$F415))</f>
        <v>0</v>
      </c>
      <c r="T415" s="98">
        <f>IF(VLOOKUP($D415,$C$5:$AJ$646,18,)=0,0,((VLOOKUP($D415,$C$5:$AJ$646,18,)/VLOOKUP($D415,$C$5:$AJ$646,4,))*$F415))</f>
        <v>0</v>
      </c>
      <c r="U415" s="98">
        <f>IF(VLOOKUP($D415,$C$5:$AJ$646,19,)=0,0,((VLOOKUP($D415,$C$5:$AJ$646,19,)/VLOOKUP($D415,$C$5:$AJ$646,4,))*$F415))</f>
        <v>0</v>
      </c>
      <c r="V415" s="98">
        <f>IF(VLOOKUP($D415,$C$5:$AJ$646,20,)=0,0,((VLOOKUP($D415,$C$5:$AJ$646,20,)/VLOOKUP($D415,$C$5:$AJ$646,4,))*$F415))</f>
        <v>0</v>
      </c>
      <c r="W415" s="98">
        <f>IF(VLOOKUP($D415,$C$5:$AJ$646,21,)=0,0,((VLOOKUP($D415,$C$5:$AJ$646,21,)/VLOOKUP($D415,$C$5:$AJ$646,4,))*$F415))</f>
        <v>0</v>
      </c>
      <c r="X415" s="98">
        <f>IF(VLOOKUP($D415,$C$5:$AJ$646,22,)=0,0,((VLOOKUP($D415,$C$5:$AJ$646,22,)/VLOOKUP($D415,$C$5:$AJ$646,4,))*$F415))</f>
        <v>0</v>
      </c>
      <c r="Y415" s="98">
        <f>IF(VLOOKUP($D415,$C$5:$AJ$646,23,)=0,0,((VLOOKUP($D415,$C$5:$AJ$646,23,)/VLOOKUP($D415,$C$5:$AJ$646,4,))*$F415))</f>
        <v>0</v>
      </c>
      <c r="Z415" s="98">
        <f>IF(VLOOKUP($D415,$C$5:$AJ$646,24,)=0,0,((VLOOKUP($D415,$C$5:$AJ$646,24,)/VLOOKUP($D415,$C$5:$AJ$646,4,))*$F415))</f>
        <v>0</v>
      </c>
      <c r="AA415" s="98">
        <f>IF(VLOOKUP($D415,$C$5:$AJ$646,25,)=0,0,((VLOOKUP($D415,$C$5:$AJ$646,25,)/VLOOKUP($D415,$C$5:$AJ$646,4,))*$F415))</f>
        <v>0</v>
      </c>
      <c r="AB415" s="98">
        <f>IF(VLOOKUP($D415,$C$5:$AJ$646,26,)=0,0,((VLOOKUP($D415,$C$5:$AJ$646,26,)/VLOOKUP($D415,$C$5:$AJ$646,4,))*$F415))</f>
        <v>0</v>
      </c>
      <c r="AC415" s="98">
        <f>IF(VLOOKUP($D415,$C$5:$AJ$646,27,)=0,0,((VLOOKUP($D415,$C$5:$AJ$646,27,)/VLOOKUP($D415,$C$5:$AJ$646,4,))*$F415))</f>
        <v>0</v>
      </c>
      <c r="AD415" s="98">
        <f>IF(VLOOKUP($D415,$C$5:$AJ$646,28,)=0,0,((VLOOKUP($D415,$C$5:$AJ$646,28,)/VLOOKUP($D415,$C$5:$AJ$646,4,))*$F415))</f>
        <v>0</v>
      </c>
      <c r="AE415" s="98"/>
      <c r="AF415" s="98">
        <f>IF(VLOOKUP($D415,$C$5:$AJ$646,30,)=0,0,((VLOOKUP($D415,$C$5:$AJ$646,30,)/VLOOKUP($D415,$C$5:$AJ$646,4,))*$F415))</f>
        <v>0</v>
      </c>
      <c r="AG415" s="98"/>
      <c r="AH415" s="98">
        <f>IF(VLOOKUP($D415,$C$5:$AJ$646,32,)=0,0,((VLOOKUP($D415,$C$5:$AJ$646,32,)/VLOOKUP($D415,$C$5:$AJ$646,4,))*$F415))</f>
        <v>0</v>
      </c>
      <c r="AI415" s="98"/>
      <c r="AJ415" s="98">
        <f>IF(VLOOKUP($D415,$C$5:$AJ$646,34,)=0,0,((VLOOKUP($D415,$C$5:$AJ$646,34,)/VLOOKUP($D415,$C$5:$AJ$646,4,))*$F415))</f>
        <v>0</v>
      </c>
      <c r="AK415" s="98">
        <f t="shared" si="388"/>
        <v>74961.334889465274</v>
      </c>
      <c r="AL415" s="95" t="str">
        <f t="shared" si="389"/>
        <v>ok</v>
      </c>
    </row>
    <row r="416" spans="1:38" x14ac:dyDescent="0.25">
      <c r="F416" s="97"/>
      <c r="Y416" s="94"/>
      <c r="AK416" s="98"/>
      <c r="AL416" s="95"/>
    </row>
    <row r="417" spans="1:38" x14ac:dyDescent="0.25">
      <c r="B417" s="94" t="s">
        <v>1961</v>
      </c>
      <c r="C417" s="94" t="s">
        <v>257</v>
      </c>
      <c r="F417" s="97">
        <f>SUM(F412:F416)</f>
        <v>768839.0127035859</v>
      </c>
      <c r="H417" s="97">
        <f t="shared" ref="H417:M417" si="390">SUM(H412:H416)</f>
        <v>264131.93435243086</v>
      </c>
      <c r="I417" s="97">
        <f t="shared" si="390"/>
        <v>248991.29721998709</v>
      </c>
      <c r="J417" s="97">
        <f t="shared" si="390"/>
        <v>255715.78113116798</v>
      </c>
      <c r="K417" s="97">
        <f t="shared" si="390"/>
        <v>0</v>
      </c>
      <c r="L417" s="97">
        <f t="shared" si="390"/>
        <v>0</v>
      </c>
      <c r="M417" s="97">
        <f t="shared" si="390"/>
        <v>0</v>
      </c>
      <c r="O417" s="97">
        <f>SUM(O412:O416)</f>
        <v>0</v>
      </c>
      <c r="P417" s="97">
        <f>SUM(P412:P416)</f>
        <v>0</v>
      </c>
      <c r="Q417" s="97">
        <f>SUM(Q412:Q416)</f>
        <v>0</v>
      </c>
      <c r="S417" s="97">
        <f t="shared" ref="S417:AD417" si="391">SUM(S412:S416)</f>
        <v>0</v>
      </c>
      <c r="T417" s="97">
        <f t="shared" si="391"/>
        <v>0</v>
      </c>
      <c r="U417" s="97">
        <f t="shared" si="391"/>
        <v>0</v>
      </c>
      <c r="V417" s="97">
        <f t="shared" si="391"/>
        <v>0</v>
      </c>
      <c r="W417" s="97">
        <f t="shared" si="391"/>
        <v>0</v>
      </c>
      <c r="X417" s="97">
        <f t="shared" si="391"/>
        <v>0</v>
      </c>
      <c r="Y417" s="97">
        <f t="shared" si="391"/>
        <v>0</v>
      </c>
      <c r="Z417" s="97">
        <f t="shared" si="391"/>
        <v>0</v>
      </c>
      <c r="AA417" s="97">
        <f t="shared" si="391"/>
        <v>0</v>
      </c>
      <c r="AB417" s="97">
        <f t="shared" si="391"/>
        <v>0</v>
      </c>
      <c r="AC417" s="97">
        <f t="shared" si="391"/>
        <v>0</v>
      </c>
      <c r="AD417" s="97">
        <f t="shared" si="391"/>
        <v>0</v>
      </c>
      <c r="AF417" s="97">
        <f>SUM(AF412:AF416)</f>
        <v>0</v>
      </c>
      <c r="AH417" s="97">
        <f>SUM(AH412:AH416)</f>
        <v>0</v>
      </c>
      <c r="AJ417" s="97">
        <f>SUM(AJ412:AJ416)</f>
        <v>0</v>
      </c>
      <c r="AK417" s="98">
        <f t="shared" si="388"/>
        <v>768839.0127035859</v>
      </c>
      <c r="AL417" s="95" t="str">
        <f t="shared" si="389"/>
        <v>ok</v>
      </c>
    </row>
    <row r="418" spans="1:38" x14ac:dyDescent="0.25">
      <c r="F418" s="97"/>
      <c r="H418" s="97"/>
      <c r="I418" s="97"/>
      <c r="J418" s="97"/>
      <c r="K418" s="97"/>
      <c r="L418" s="97"/>
      <c r="M418" s="97"/>
      <c r="O418" s="97"/>
      <c r="P418" s="97"/>
      <c r="Q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F418" s="97"/>
      <c r="AH418" s="97"/>
      <c r="AJ418" s="97"/>
      <c r="AK418" s="98"/>
      <c r="AL418" s="95"/>
    </row>
    <row r="419" spans="1:38" x14ac:dyDescent="0.25">
      <c r="B419" s="94" t="s">
        <v>1960</v>
      </c>
      <c r="F419" s="97">
        <f>F407+F417</f>
        <v>1167559.1653268503</v>
      </c>
      <c r="H419" s="97">
        <f t="shared" ref="H419:M419" si="392">H407+H417</f>
        <v>401110.83817697153</v>
      </c>
      <c r="I419" s="97">
        <f t="shared" si="392"/>
        <v>378118.26188884798</v>
      </c>
      <c r="J419" s="97">
        <f t="shared" si="392"/>
        <v>388330.0652610308</v>
      </c>
      <c r="K419" s="97">
        <f t="shared" si="392"/>
        <v>0</v>
      </c>
      <c r="L419" s="97">
        <f t="shared" si="392"/>
        <v>0</v>
      </c>
      <c r="M419" s="97">
        <f t="shared" si="392"/>
        <v>0</v>
      </c>
      <c r="O419" s="97">
        <f>O407+O417</f>
        <v>0</v>
      </c>
      <c r="P419" s="97">
        <f>P407+P417</f>
        <v>0</v>
      </c>
      <c r="Q419" s="97">
        <f>Q407+Q417</f>
        <v>0</v>
      </c>
      <c r="S419" s="97">
        <f t="shared" ref="S419:AD419" si="393">S407+S417</f>
        <v>0</v>
      </c>
      <c r="T419" s="97">
        <f t="shared" si="393"/>
        <v>0</v>
      </c>
      <c r="U419" s="97">
        <f t="shared" si="393"/>
        <v>0</v>
      </c>
      <c r="V419" s="97">
        <f t="shared" si="393"/>
        <v>0</v>
      </c>
      <c r="W419" s="97">
        <f t="shared" si="393"/>
        <v>0</v>
      </c>
      <c r="X419" s="97">
        <f t="shared" si="393"/>
        <v>0</v>
      </c>
      <c r="Y419" s="97">
        <f t="shared" si="393"/>
        <v>0</v>
      </c>
      <c r="Z419" s="97">
        <f t="shared" si="393"/>
        <v>0</v>
      </c>
      <c r="AA419" s="97">
        <f t="shared" si="393"/>
        <v>0</v>
      </c>
      <c r="AB419" s="97">
        <f t="shared" si="393"/>
        <v>0</v>
      </c>
      <c r="AC419" s="97">
        <f t="shared" si="393"/>
        <v>0</v>
      </c>
      <c r="AD419" s="97">
        <f t="shared" si="393"/>
        <v>0</v>
      </c>
      <c r="AF419" s="97">
        <f>AF407+AF417</f>
        <v>0</v>
      </c>
      <c r="AH419" s="97">
        <f>AH407+AH417</f>
        <v>0</v>
      </c>
      <c r="AJ419" s="97">
        <f>AJ407+AJ417</f>
        <v>0</v>
      </c>
      <c r="AK419" s="98">
        <f t="shared" si="388"/>
        <v>1167559.1653268503</v>
      </c>
      <c r="AL419" s="95" t="str">
        <f t="shared" si="389"/>
        <v>ok</v>
      </c>
    </row>
    <row r="420" spans="1:38" x14ac:dyDescent="0.25">
      <c r="F420" s="97"/>
      <c r="Y420" s="94"/>
      <c r="AK420" s="98"/>
      <c r="AL420" s="95"/>
    </row>
    <row r="421" spans="1:38" x14ac:dyDescent="0.25">
      <c r="B421" s="94" t="s">
        <v>2077</v>
      </c>
      <c r="C421" s="94" t="s">
        <v>2079</v>
      </c>
      <c r="F421" s="97">
        <f>F419+F377+F398</f>
        <v>39944072.285541162</v>
      </c>
      <c r="H421" s="97">
        <f t="shared" ref="H421:M421" si="394">H419+H377+H398</f>
        <v>7184206.6982863816</v>
      </c>
      <c r="I421" s="97">
        <f t="shared" si="394"/>
        <v>6772391.7961243056</v>
      </c>
      <c r="J421" s="97">
        <f t="shared" si="394"/>
        <v>6955293.1271415725</v>
      </c>
      <c r="K421" s="97">
        <f t="shared" si="394"/>
        <v>19032180.663988903</v>
      </c>
      <c r="L421" s="97">
        <f t="shared" si="394"/>
        <v>0</v>
      </c>
      <c r="M421" s="97">
        <f t="shared" si="394"/>
        <v>0</v>
      </c>
      <c r="N421" s="98"/>
      <c r="O421" s="97">
        <f>O419+O377+O398</f>
        <v>0</v>
      </c>
      <c r="P421" s="97">
        <f>P419+P377+P398</f>
        <v>0</v>
      </c>
      <c r="Q421" s="97">
        <f>Q419+Q377+Q398</f>
        <v>0</v>
      </c>
      <c r="R421" s="98"/>
      <c r="S421" s="97">
        <f t="shared" ref="S421:AD421" si="395">S419+S377+S398</f>
        <v>0</v>
      </c>
      <c r="T421" s="97">
        <f t="shared" si="395"/>
        <v>0</v>
      </c>
      <c r="U421" s="97">
        <f t="shared" si="395"/>
        <v>0</v>
      </c>
      <c r="V421" s="97">
        <f t="shared" si="395"/>
        <v>0</v>
      </c>
      <c r="W421" s="97">
        <f t="shared" si="395"/>
        <v>0</v>
      </c>
      <c r="X421" s="97">
        <f t="shared" si="395"/>
        <v>0</v>
      </c>
      <c r="Y421" s="97">
        <f t="shared" si="395"/>
        <v>0</v>
      </c>
      <c r="Z421" s="97">
        <f t="shared" si="395"/>
        <v>0</v>
      </c>
      <c r="AA421" s="97">
        <f t="shared" si="395"/>
        <v>0</v>
      </c>
      <c r="AB421" s="97">
        <f t="shared" si="395"/>
        <v>0</v>
      </c>
      <c r="AC421" s="97">
        <f t="shared" si="395"/>
        <v>0</v>
      </c>
      <c r="AD421" s="97">
        <f t="shared" si="395"/>
        <v>0</v>
      </c>
      <c r="AE421" s="98"/>
      <c r="AF421" s="97">
        <f>AF419+AF377+AF398</f>
        <v>0</v>
      </c>
      <c r="AG421" s="98"/>
      <c r="AH421" s="97">
        <f>AH419+AH377+AH398</f>
        <v>0</v>
      </c>
      <c r="AI421" s="98"/>
      <c r="AJ421" s="97">
        <f>AJ419+AJ377+AJ398</f>
        <v>0</v>
      </c>
      <c r="AK421" s="98">
        <f>SUM(H421:AJ421)</f>
        <v>39944072.285541162</v>
      </c>
      <c r="AL421" s="95" t="str">
        <f>IF(ABS(AK421-F421)&lt;1,"ok","err")</f>
        <v>ok</v>
      </c>
    </row>
    <row r="422" spans="1:38" x14ac:dyDescent="0.25">
      <c r="A422" s="15"/>
      <c r="Y422" s="94"/>
      <c r="AL422" s="95"/>
    </row>
    <row r="423" spans="1:38" x14ac:dyDescent="0.25">
      <c r="A423" s="16" t="s">
        <v>955</v>
      </c>
      <c r="Y423" s="94"/>
      <c r="AL423" s="95"/>
    </row>
    <row r="424" spans="1:38" x14ac:dyDescent="0.25">
      <c r="A424" s="94">
        <v>555</v>
      </c>
      <c r="B424" s="94" t="s">
        <v>574</v>
      </c>
      <c r="C424" s="94" t="s">
        <v>1311</v>
      </c>
      <c r="D424" s="94" t="s">
        <v>956</v>
      </c>
      <c r="F424" s="97">
        <f>'Jurisdictional Study'!F1342</f>
        <v>0</v>
      </c>
      <c r="G424" s="97"/>
      <c r="H424" s="98">
        <f>IF(VLOOKUP($D424,$C$5:$AJ$646,6,)=0,0,((VLOOKUP($D424,$C$5:$AJ$646,6,)/VLOOKUP($D424,$C$5:$AJ$646,4,))*$F424))</f>
        <v>0</v>
      </c>
      <c r="I424" s="98">
        <f>IF(VLOOKUP($D424,$C$5:$AJ$646,7,)=0,0,((VLOOKUP($D424,$C$5:$AJ$646,7,)/VLOOKUP($D424,$C$5:$AJ$646,4,))*$F424))</f>
        <v>0</v>
      </c>
      <c r="J424" s="98">
        <f>IF(VLOOKUP($D424,$C$5:$AJ$646,8,)=0,0,((VLOOKUP($D424,$C$5:$AJ$646,8,)/VLOOKUP($D424,$C$5:$AJ$646,4,))*$F424))</f>
        <v>0</v>
      </c>
      <c r="K424" s="98">
        <f>IF(VLOOKUP($D424,$C$5:$AJ$646,9,)=0,0,((VLOOKUP($D424,$C$5:$AJ$646,9,)/VLOOKUP($D424,$C$5:$AJ$646,4,))*$F424))</f>
        <v>0</v>
      </c>
      <c r="L424" s="98">
        <f>IF(VLOOKUP($D424,$C$5:$AJ$646,10,)=0,0,((VLOOKUP($D424,$C$5:$AJ$646,10,)/VLOOKUP($D424,$C$5:$AJ$646,4,))*$F424))</f>
        <v>0</v>
      </c>
      <c r="M424" s="98">
        <f>IF(VLOOKUP($D424,$C$5:$AJ$646,11,)=0,0,((VLOOKUP($D424,$C$5:$AJ$646,11,)/VLOOKUP($D424,$C$5:$AJ$646,4,))*$F424))</f>
        <v>0</v>
      </c>
      <c r="N424" s="98"/>
      <c r="O424" s="98">
        <f>IF(VLOOKUP($D424,$C$5:$AJ$646,13,)=0,0,((VLOOKUP($D424,$C$5:$AJ$646,13,)/VLOOKUP($D424,$C$5:$AJ$646,4,))*$F424))</f>
        <v>0</v>
      </c>
      <c r="P424" s="98">
        <f>IF(VLOOKUP($D424,$C$5:$AJ$646,14,)=0,0,((VLOOKUP($D424,$C$5:$AJ$646,14,)/VLOOKUP($D424,$C$5:$AJ$646,4,))*$F424))</f>
        <v>0</v>
      </c>
      <c r="Q424" s="98">
        <f>IF(VLOOKUP($D424,$C$5:$AJ$646,15,)=0,0,((VLOOKUP($D424,$C$5:$AJ$646,15,)/VLOOKUP($D424,$C$5:$AJ$646,4,))*$F424))</f>
        <v>0</v>
      </c>
      <c r="R424" s="98"/>
      <c r="S424" s="98">
        <f>IF(VLOOKUP($D424,$C$5:$AJ$646,17,)=0,0,((VLOOKUP($D424,$C$5:$AJ$646,17,)/VLOOKUP($D424,$C$5:$AJ$646,4,))*$F424))</f>
        <v>0</v>
      </c>
      <c r="T424" s="98">
        <f>IF(VLOOKUP($D424,$C$5:$AJ$646,18,)=0,0,((VLOOKUP($D424,$C$5:$AJ$646,18,)/VLOOKUP($D424,$C$5:$AJ$646,4,))*$F424))</f>
        <v>0</v>
      </c>
      <c r="U424" s="98">
        <f>IF(VLOOKUP($D424,$C$5:$AJ$646,19,)=0,0,((VLOOKUP($D424,$C$5:$AJ$646,19,)/VLOOKUP($D424,$C$5:$AJ$646,4,))*$F424))</f>
        <v>0</v>
      </c>
      <c r="V424" s="98">
        <f>IF(VLOOKUP($D424,$C$5:$AJ$646,20,)=0,0,((VLOOKUP($D424,$C$5:$AJ$646,20,)/VLOOKUP($D424,$C$5:$AJ$646,4,))*$F424))</f>
        <v>0</v>
      </c>
      <c r="W424" s="98">
        <f>IF(VLOOKUP($D424,$C$5:$AJ$646,21,)=0,0,((VLOOKUP($D424,$C$5:$AJ$646,21,)/VLOOKUP($D424,$C$5:$AJ$646,4,))*$F424))</f>
        <v>0</v>
      </c>
      <c r="X424" s="98">
        <f>IF(VLOOKUP($D424,$C$5:$AJ$646,22,)=0,0,((VLOOKUP($D424,$C$5:$AJ$646,22,)/VLOOKUP($D424,$C$5:$AJ$646,4,))*$F424))</f>
        <v>0</v>
      </c>
      <c r="Y424" s="98">
        <f>IF(VLOOKUP($D424,$C$5:$AJ$646,23,)=0,0,((VLOOKUP($D424,$C$5:$AJ$646,23,)/VLOOKUP($D424,$C$5:$AJ$646,4,))*$F424))</f>
        <v>0</v>
      </c>
      <c r="Z424" s="98">
        <f>IF(VLOOKUP($D424,$C$5:$AJ$646,24,)=0,0,((VLOOKUP($D424,$C$5:$AJ$646,24,)/VLOOKUP($D424,$C$5:$AJ$646,4,))*$F424))</f>
        <v>0</v>
      </c>
      <c r="AA424" s="98">
        <f>IF(VLOOKUP($D424,$C$5:$AJ$646,25,)=0,0,((VLOOKUP($D424,$C$5:$AJ$646,25,)/VLOOKUP($D424,$C$5:$AJ$646,4,))*$F424))</f>
        <v>0</v>
      </c>
      <c r="AB424" s="98">
        <f>IF(VLOOKUP($D424,$C$5:$AJ$646,26,)=0,0,((VLOOKUP($D424,$C$5:$AJ$646,26,)/VLOOKUP($D424,$C$5:$AJ$646,4,))*$F424))</f>
        <v>0</v>
      </c>
      <c r="AC424" s="98">
        <f>IF(VLOOKUP($D424,$C$5:$AJ$646,27,)=0,0,((VLOOKUP($D424,$C$5:$AJ$646,27,)/VLOOKUP($D424,$C$5:$AJ$646,4,))*$F424))</f>
        <v>0</v>
      </c>
      <c r="AD424" s="98">
        <f>IF(VLOOKUP($D424,$C$5:$AJ$646,28,)=0,0,((VLOOKUP($D424,$C$5:$AJ$646,28,)/VLOOKUP($D424,$C$5:$AJ$646,4,))*$F424))</f>
        <v>0</v>
      </c>
      <c r="AE424" s="98"/>
      <c r="AF424" s="98">
        <f>IF(VLOOKUP($D424,$C$5:$AJ$646,30,)=0,0,((VLOOKUP($D424,$C$5:$AJ$646,30,)/VLOOKUP($D424,$C$5:$AJ$646,4,))*$F424))</f>
        <v>0</v>
      </c>
      <c r="AG424" s="98"/>
      <c r="AH424" s="98">
        <f>IF(VLOOKUP($D424,$C$5:$AJ$646,32,)=0,0,((VLOOKUP($D424,$C$5:$AJ$646,32,)/VLOOKUP($D424,$C$5:$AJ$646,4,))*$F424))</f>
        <v>0</v>
      </c>
      <c r="AI424" s="98"/>
      <c r="AJ424" s="98">
        <f>IF(VLOOKUP($D424,$C$5:$AJ$646,34,)=0,0,((VLOOKUP($D424,$C$5:$AJ$646,34,)/VLOOKUP($D424,$C$5:$AJ$646,4,))*$F424))</f>
        <v>0</v>
      </c>
      <c r="AK424" s="98">
        <f>SUM(H424:AJ424)</f>
        <v>0</v>
      </c>
      <c r="AL424" s="95" t="str">
        <f>IF(ABS(AK424-F424)&lt;1,"ok","err")</f>
        <v>ok</v>
      </c>
    </row>
    <row r="425" spans="1:38" x14ac:dyDescent="0.25">
      <c r="A425" s="94">
        <v>556</v>
      </c>
      <c r="B425" s="94" t="s">
        <v>1970</v>
      </c>
      <c r="C425" s="94" t="s">
        <v>2203</v>
      </c>
      <c r="D425" s="94" t="s">
        <v>885</v>
      </c>
      <c r="F425" s="97">
        <f>'Jurisdictional Study'!F1343</f>
        <v>1475082.9447412905</v>
      </c>
      <c r="G425" s="97"/>
      <c r="H425" s="98">
        <f>IF(VLOOKUP($D425,$C$5:$AJ$646,6,)=0,0,((VLOOKUP($D425,$C$5:$AJ$646,6,)/VLOOKUP($D425,$C$5:$AJ$646,4,))*$F425))</f>
        <v>506759.54925170745</v>
      </c>
      <c r="I425" s="98">
        <f>IF(VLOOKUP($D425,$C$5:$AJ$646,7,)=0,0,((VLOOKUP($D425,$C$5:$AJ$646,7,)/VLOOKUP($D425,$C$5:$AJ$646,4,))*$F425))</f>
        <v>477710.95099178154</v>
      </c>
      <c r="J425" s="98">
        <f>IF(VLOOKUP($D425,$C$5:$AJ$646,8,)=0,0,((VLOOKUP($D425,$C$5:$AJ$646,8,)/VLOOKUP($D425,$C$5:$AJ$646,4,))*$F425))</f>
        <v>490612.44449780154</v>
      </c>
      <c r="K425" s="98">
        <f>IF(VLOOKUP($D425,$C$5:$AJ$646,9,)=0,0,((VLOOKUP($D425,$C$5:$AJ$646,9,)/VLOOKUP($D425,$C$5:$AJ$646,4,))*$F425))</f>
        <v>0</v>
      </c>
      <c r="L425" s="98">
        <f>IF(VLOOKUP($D425,$C$5:$AJ$646,10,)=0,0,((VLOOKUP($D425,$C$5:$AJ$646,10,)/VLOOKUP($D425,$C$5:$AJ$646,4,))*$F425))</f>
        <v>0</v>
      </c>
      <c r="M425" s="98">
        <f>IF(VLOOKUP($D425,$C$5:$AJ$646,11,)=0,0,((VLOOKUP($D425,$C$5:$AJ$646,11,)/VLOOKUP($D425,$C$5:$AJ$646,4,))*$F425))</f>
        <v>0</v>
      </c>
      <c r="N425" s="98"/>
      <c r="O425" s="98">
        <f>IF(VLOOKUP($D425,$C$5:$AJ$646,13,)=0,0,((VLOOKUP($D425,$C$5:$AJ$646,13,)/VLOOKUP($D425,$C$5:$AJ$646,4,))*$F425))</f>
        <v>0</v>
      </c>
      <c r="P425" s="98">
        <f>IF(VLOOKUP($D425,$C$5:$AJ$646,14,)=0,0,((VLOOKUP($D425,$C$5:$AJ$646,14,)/VLOOKUP($D425,$C$5:$AJ$646,4,))*$F425))</f>
        <v>0</v>
      </c>
      <c r="Q425" s="98">
        <f>IF(VLOOKUP($D425,$C$5:$AJ$646,15,)=0,0,((VLOOKUP($D425,$C$5:$AJ$646,15,)/VLOOKUP($D425,$C$5:$AJ$646,4,))*$F425))</f>
        <v>0</v>
      </c>
      <c r="R425" s="98"/>
      <c r="S425" s="98">
        <f>IF(VLOOKUP($D425,$C$5:$AJ$646,17,)=0,0,((VLOOKUP($D425,$C$5:$AJ$646,17,)/VLOOKUP($D425,$C$5:$AJ$646,4,))*$F425))</f>
        <v>0</v>
      </c>
      <c r="T425" s="98">
        <f>IF(VLOOKUP($D425,$C$5:$AJ$646,18,)=0,0,((VLOOKUP($D425,$C$5:$AJ$646,18,)/VLOOKUP($D425,$C$5:$AJ$646,4,))*$F425))</f>
        <v>0</v>
      </c>
      <c r="U425" s="98">
        <f>IF(VLOOKUP($D425,$C$5:$AJ$646,19,)=0,0,((VLOOKUP($D425,$C$5:$AJ$646,19,)/VLOOKUP($D425,$C$5:$AJ$646,4,))*$F425))</f>
        <v>0</v>
      </c>
      <c r="V425" s="98">
        <f>IF(VLOOKUP($D425,$C$5:$AJ$646,20,)=0,0,((VLOOKUP($D425,$C$5:$AJ$646,20,)/VLOOKUP($D425,$C$5:$AJ$646,4,))*$F425))</f>
        <v>0</v>
      </c>
      <c r="W425" s="98">
        <f>IF(VLOOKUP($D425,$C$5:$AJ$646,21,)=0,0,((VLOOKUP($D425,$C$5:$AJ$646,21,)/VLOOKUP($D425,$C$5:$AJ$646,4,))*$F425))</f>
        <v>0</v>
      </c>
      <c r="X425" s="98">
        <f>IF(VLOOKUP($D425,$C$5:$AJ$646,22,)=0,0,((VLOOKUP($D425,$C$5:$AJ$646,22,)/VLOOKUP($D425,$C$5:$AJ$646,4,))*$F425))</f>
        <v>0</v>
      </c>
      <c r="Y425" s="98">
        <f>IF(VLOOKUP($D425,$C$5:$AJ$646,23,)=0,0,((VLOOKUP($D425,$C$5:$AJ$646,23,)/VLOOKUP($D425,$C$5:$AJ$646,4,))*$F425))</f>
        <v>0</v>
      </c>
      <c r="Z425" s="98">
        <f>IF(VLOOKUP($D425,$C$5:$AJ$646,24,)=0,0,((VLOOKUP($D425,$C$5:$AJ$646,24,)/VLOOKUP($D425,$C$5:$AJ$646,4,))*$F425))</f>
        <v>0</v>
      </c>
      <c r="AA425" s="98">
        <f>IF(VLOOKUP($D425,$C$5:$AJ$646,25,)=0,0,((VLOOKUP($D425,$C$5:$AJ$646,25,)/VLOOKUP($D425,$C$5:$AJ$646,4,))*$F425))</f>
        <v>0</v>
      </c>
      <c r="AB425" s="98">
        <f>IF(VLOOKUP($D425,$C$5:$AJ$646,26,)=0,0,((VLOOKUP($D425,$C$5:$AJ$646,26,)/VLOOKUP($D425,$C$5:$AJ$646,4,))*$F425))</f>
        <v>0</v>
      </c>
      <c r="AC425" s="98">
        <f>IF(VLOOKUP($D425,$C$5:$AJ$646,27,)=0,0,((VLOOKUP($D425,$C$5:$AJ$646,27,)/VLOOKUP($D425,$C$5:$AJ$646,4,))*$F425))</f>
        <v>0</v>
      </c>
      <c r="AD425" s="98">
        <f>IF(VLOOKUP($D425,$C$5:$AJ$646,28,)=0,0,((VLOOKUP($D425,$C$5:$AJ$646,28,)/VLOOKUP($D425,$C$5:$AJ$646,4,))*$F425))</f>
        <v>0</v>
      </c>
      <c r="AE425" s="98"/>
      <c r="AF425" s="98">
        <f>IF(VLOOKUP($D425,$C$5:$AJ$646,30,)=0,0,((VLOOKUP($D425,$C$5:$AJ$646,30,)/VLOOKUP($D425,$C$5:$AJ$646,4,))*$F425))</f>
        <v>0</v>
      </c>
      <c r="AG425" s="98"/>
      <c r="AH425" s="98">
        <f>IF(VLOOKUP($D425,$C$5:$AJ$646,32,)=0,0,((VLOOKUP($D425,$C$5:$AJ$646,32,)/VLOOKUP($D425,$C$5:$AJ$646,4,))*$F425))</f>
        <v>0</v>
      </c>
      <c r="AI425" s="98"/>
      <c r="AJ425" s="98">
        <f>IF(VLOOKUP($D425,$C$5:$AJ$646,34,)=0,0,((VLOOKUP($D425,$C$5:$AJ$646,34,)/VLOOKUP($D425,$C$5:$AJ$646,4,))*$F425))</f>
        <v>0</v>
      </c>
      <c r="AK425" s="98">
        <f>SUM(H425:AJ425)</f>
        <v>1475082.9447412905</v>
      </c>
      <c r="AL425" s="95" t="str">
        <f>IF(ABS(AK425-F425)&lt;1,"ok","err")</f>
        <v>ok</v>
      </c>
    </row>
    <row r="426" spans="1:38" x14ac:dyDescent="0.25">
      <c r="A426" s="94">
        <v>557</v>
      </c>
      <c r="B426" s="94" t="s">
        <v>592</v>
      </c>
      <c r="C426" s="94" t="s">
        <v>1255</v>
      </c>
      <c r="D426" s="94" t="s">
        <v>885</v>
      </c>
      <c r="F426" s="97">
        <f>'Jurisdictional Study'!F1344</f>
        <v>4.2846619543920994E-2</v>
      </c>
      <c r="G426" s="97"/>
      <c r="H426" s="98">
        <f>IF(VLOOKUP($D426,$C$5:$AJ$646,6,)=0,0,((VLOOKUP($D426,$C$5:$AJ$646,6,)/VLOOKUP($D426,$C$5:$AJ$646,4,))*$F426))</f>
        <v>1.4719805204476114E-2</v>
      </c>
      <c r="I426" s="98">
        <f>IF(VLOOKUP($D426,$C$5:$AJ$646,7,)=0,0,((VLOOKUP($D426,$C$5:$AJ$646,7,)/VLOOKUP($D426,$C$5:$AJ$646,4,))*$F426))</f>
        <v>1.3876032830614424E-2</v>
      </c>
      <c r="J426" s="98">
        <f>IF(VLOOKUP($D426,$C$5:$AJ$646,8,)=0,0,((VLOOKUP($D426,$C$5:$AJ$646,8,)/VLOOKUP($D426,$C$5:$AJ$646,4,))*$F426))</f>
        <v>1.4250781508830454E-2</v>
      </c>
      <c r="K426" s="98">
        <f>IF(VLOOKUP($D426,$C$5:$AJ$646,9,)=0,0,((VLOOKUP($D426,$C$5:$AJ$646,9,)/VLOOKUP($D426,$C$5:$AJ$646,4,))*$F426))</f>
        <v>0</v>
      </c>
      <c r="L426" s="98">
        <f>IF(VLOOKUP($D426,$C$5:$AJ$646,10,)=0,0,((VLOOKUP($D426,$C$5:$AJ$646,10,)/VLOOKUP($D426,$C$5:$AJ$646,4,))*$F426))</f>
        <v>0</v>
      </c>
      <c r="M426" s="98">
        <f>IF(VLOOKUP($D426,$C$5:$AJ$646,11,)=0,0,((VLOOKUP($D426,$C$5:$AJ$646,11,)/VLOOKUP($D426,$C$5:$AJ$646,4,))*$F426))</f>
        <v>0</v>
      </c>
      <c r="N426" s="98"/>
      <c r="O426" s="98">
        <f>IF(VLOOKUP($D426,$C$5:$AJ$646,13,)=0,0,((VLOOKUP($D426,$C$5:$AJ$646,13,)/VLOOKUP($D426,$C$5:$AJ$646,4,))*$F426))</f>
        <v>0</v>
      </c>
      <c r="P426" s="98">
        <f>IF(VLOOKUP($D426,$C$5:$AJ$646,14,)=0,0,((VLOOKUP($D426,$C$5:$AJ$646,14,)/VLOOKUP($D426,$C$5:$AJ$646,4,))*$F426))</f>
        <v>0</v>
      </c>
      <c r="Q426" s="98">
        <f>IF(VLOOKUP($D426,$C$5:$AJ$646,15,)=0,0,((VLOOKUP($D426,$C$5:$AJ$646,15,)/VLOOKUP($D426,$C$5:$AJ$646,4,))*$F426))</f>
        <v>0</v>
      </c>
      <c r="R426" s="98"/>
      <c r="S426" s="98">
        <f>IF(VLOOKUP($D426,$C$5:$AJ$646,17,)=0,0,((VLOOKUP($D426,$C$5:$AJ$646,17,)/VLOOKUP($D426,$C$5:$AJ$646,4,))*$F426))</f>
        <v>0</v>
      </c>
      <c r="T426" s="98">
        <f>IF(VLOOKUP($D426,$C$5:$AJ$646,18,)=0,0,((VLOOKUP($D426,$C$5:$AJ$646,18,)/VLOOKUP($D426,$C$5:$AJ$646,4,))*$F426))</f>
        <v>0</v>
      </c>
      <c r="U426" s="98">
        <f>IF(VLOOKUP($D426,$C$5:$AJ$646,19,)=0,0,((VLOOKUP($D426,$C$5:$AJ$646,19,)/VLOOKUP($D426,$C$5:$AJ$646,4,))*$F426))</f>
        <v>0</v>
      </c>
      <c r="V426" s="98">
        <f>IF(VLOOKUP($D426,$C$5:$AJ$646,20,)=0,0,((VLOOKUP($D426,$C$5:$AJ$646,20,)/VLOOKUP($D426,$C$5:$AJ$646,4,))*$F426))</f>
        <v>0</v>
      </c>
      <c r="W426" s="98">
        <f>IF(VLOOKUP($D426,$C$5:$AJ$646,21,)=0,0,((VLOOKUP($D426,$C$5:$AJ$646,21,)/VLOOKUP($D426,$C$5:$AJ$646,4,))*$F426))</f>
        <v>0</v>
      </c>
      <c r="X426" s="98">
        <f>IF(VLOOKUP($D426,$C$5:$AJ$646,22,)=0,0,((VLOOKUP($D426,$C$5:$AJ$646,22,)/VLOOKUP($D426,$C$5:$AJ$646,4,))*$F426))</f>
        <v>0</v>
      </c>
      <c r="Y426" s="98">
        <f>IF(VLOOKUP($D426,$C$5:$AJ$646,23,)=0,0,((VLOOKUP($D426,$C$5:$AJ$646,23,)/VLOOKUP($D426,$C$5:$AJ$646,4,))*$F426))</f>
        <v>0</v>
      </c>
      <c r="Z426" s="98">
        <f>IF(VLOOKUP($D426,$C$5:$AJ$646,24,)=0,0,((VLOOKUP($D426,$C$5:$AJ$646,24,)/VLOOKUP($D426,$C$5:$AJ$646,4,))*$F426))</f>
        <v>0</v>
      </c>
      <c r="AA426" s="98">
        <f>IF(VLOOKUP($D426,$C$5:$AJ$646,25,)=0,0,((VLOOKUP($D426,$C$5:$AJ$646,25,)/VLOOKUP($D426,$C$5:$AJ$646,4,))*$F426))</f>
        <v>0</v>
      </c>
      <c r="AB426" s="98">
        <f>IF(VLOOKUP($D426,$C$5:$AJ$646,26,)=0,0,((VLOOKUP($D426,$C$5:$AJ$646,26,)/VLOOKUP($D426,$C$5:$AJ$646,4,))*$F426))</f>
        <v>0</v>
      </c>
      <c r="AC426" s="98">
        <f>IF(VLOOKUP($D426,$C$5:$AJ$646,27,)=0,0,((VLOOKUP($D426,$C$5:$AJ$646,27,)/VLOOKUP($D426,$C$5:$AJ$646,4,))*$F426))</f>
        <v>0</v>
      </c>
      <c r="AD426" s="98">
        <f>IF(VLOOKUP($D426,$C$5:$AJ$646,28,)=0,0,((VLOOKUP($D426,$C$5:$AJ$646,28,)/VLOOKUP($D426,$C$5:$AJ$646,4,))*$F426))</f>
        <v>0</v>
      </c>
      <c r="AE426" s="98"/>
      <c r="AF426" s="98">
        <f>IF(VLOOKUP($D426,$C$5:$AJ$646,30,)=0,0,((VLOOKUP($D426,$C$5:$AJ$646,30,)/VLOOKUP($D426,$C$5:$AJ$646,4,))*$F426))</f>
        <v>0</v>
      </c>
      <c r="AG426" s="98"/>
      <c r="AH426" s="98">
        <f>IF(VLOOKUP($D426,$C$5:$AJ$646,32,)=0,0,((VLOOKUP($D426,$C$5:$AJ$646,32,)/VLOOKUP($D426,$C$5:$AJ$646,4,))*$F426))</f>
        <v>0</v>
      </c>
      <c r="AI426" s="98"/>
      <c r="AJ426" s="98">
        <f>IF(VLOOKUP($D426,$C$5:$AJ$646,34,)=0,0,((VLOOKUP($D426,$C$5:$AJ$646,34,)/VLOOKUP($D426,$C$5:$AJ$646,4,))*$F426))</f>
        <v>0</v>
      </c>
      <c r="AK426" s="98">
        <f>SUM(H426:AJ426)</f>
        <v>4.2846619543920994E-2</v>
      </c>
      <c r="AL426" s="95" t="str">
        <f>IF(ABS(AK426-F426)&lt;1,"ok","err")</f>
        <v>ok</v>
      </c>
    </row>
    <row r="427" spans="1:38" x14ac:dyDescent="0.25"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8"/>
      <c r="AL427" s="95"/>
    </row>
    <row r="428" spans="1:38" x14ac:dyDescent="0.25">
      <c r="B428" s="94" t="s">
        <v>1313</v>
      </c>
      <c r="C428" s="94" t="s">
        <v>1254</v>
      </c>
      <c r="F428" s="97">
        <f>SUM(F424:F426)</f>
        <v>1475082.9875879101</v>
      </c>
      <c r="G428" s="97"/>
      <c r="H428" s="97">
        <f t="shared" ref="H428:M428" si="396">SUM(H424:H426)</f>
        <v>506759.56397151266</v>
      </c>
      <c r="I428" s="97">
        <f t="shared" si="396"/>
        <v>477710.96486781439</v>
      </c>
      <c r="J428" s="97">
        <f t="shared" si="396"/>
        <v>490612.45874858304</v>
      </c>
      <c r="K428" s="97">
        <f t="shared" si="396"/>
        <v>0</v>
      </c>
      <c r="L428" s="97">
        <f t="shared" si="396"/>
        <v>0</v>
      </c>
      <c r="M428" s="97">
        <f t="shared" si="396"/>
        <v>0</v>
      </c>
      <c r="N428" s="97"/>
      <c r="O428" s="97">
        <f>SUM(O424:O426)</f>
        <v>0</v>
      </c>
      <c r="P428" s="97">
        <f>SUM(P424:P426)</f>
        <v>0</v>
      </c>
      <c r="Q428" s="97">
        <f>SUM(Q424:Q426)</f>
        <v>0</v>
      </c>
      <c r="R428" s="97"/>
      <c r="S428" s="97">
        <f t="shared" ref="S428:AD428" si="397">SUM(S424:S426)</f>
        <v>0</v>
      </c>
      <c r="T428" s="97">
        <f t="shared" si="397"/>
        <v>0</v>
      </c>
      <c r="U428" s="97">
        <f t="shared" si="397"/>
        <v>0</v>
      </c>
      <c r="V428" s="97">
        <f t="shared" si="397"/>
        <v>0</v>
      </c>
      <c r="W428" s="97">
        <f t="shared" si="397"/>
        <v>0</v>
      </c>
      <c r="X428" s="97">
        <f t="shared" si="397"/>
        <v>0</v>
      </c>
      <c r="Y428" s="97">
        <f t="shared" si="397"/>
        <v>0</v>
      </c>
      <c r="Z428" s="97">
        <f t="shared" si="397"/>
        <v>0</v>
      </c>
      <c r="AA428" s="97">
        <f t="shared" si="397"/>
        <v>0</v>
      </c>
      <c r="AB428" s="97">
        <f t="shared" si="397"/>
        <v>0</v>
      </c>
      <c r="AC428" s="97">
        <f t="shared" si="397"/>
        <v>0</v>
      </c>
      <c r="AD428" s="97">
        <f t="shared" si="397"/>
        <v>0</v>
      </c>
      <c r="AE428" s="97"/>
      <c r="AF428" s="97">
        <f>SUM(AF424:AF426)</f>
        <v>0</v>
      </c>
      <c r="AG428" s="97"/>
      <c r="AH428" s="97">
        <f>SUM(AH424:AH426)</f>
        <v>0</v>
      </c>
      <c r="AI428" s="97"/>
      <c r="AJ428" s="97">
        <f>SUM(AJ424:AJ426)</f>
        <v>0</v>
      </c>
      <c r="AK428" s="98">
        <f>SUM(H428:AJ428)</f>
        <v>1475082.9875879101</v>
      </c>
      <c r="AL428" s="95" t="str">
        <f>IF(ABS(AK428-F428)&lt;1,"ok","err")</f>
        <v>ok</v>
      </c>
    </row>
    <row r="429" spans="1:38" x14ac:dyDescent="0.25">
      <c r="D429" s="99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8"/>
      <c r="AL429" s="95"/>
    </row>
    <row r="430" spans="1:38" x14ac:dyDescent="0.25">
      <c r="A430" s="16" t="s">
        <v>1315</v>
      </c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8"/>
      <c r="AL430" s="95"/>
    </row>
    <row r="431" spans="1:38" x14ac:dyDescent="0.25">
      <c r="A431" s="94">
        <v>560</v>
      </c>
      <c r="B431" s="94" t="s">
        <v>569</v>
      </c>
      <c r="C431" s="94" t="s">
        <v>1312</v>
      </c>
      <c r="D431" s="94" t="s">
        <v>584</v>
      </c>
      <c r="F431" s="97">
        <f>'Jurisdictional Study'!F1354</f>
        <v>1045952.3157575636</v>
      </c>
      <c r="G431" s="97"/>
      <c r="H431" s="98">
        <f t="shared" ref="H431:H440" si="398">IF(VLOOKUP($D431,$C$5:$AJ$646,6,)=0,0,((VLOOKUP($D431,$C$5:$AJ$646,6,)/VLOOKUP($D431,$C$5:$AJ$646,4,))*$F431))</f>
        <v>0</v>
      </c>
      <c r="I431" s="98">
        <f t="shared" ref="I431:I440" si="399">IF(VLOOKUP($D431,$C$5:$AJ$646,7,)=0,0,((VLOOKUP($D431,$C$5:$AJ$646,7,)/VLOOKUP($D431,$C$5:$AJ$646,4,))*$F431))</f>
        <v>0</v>
      </c>
      <c r="J431" s="98">
        <f t="shared" ref="J431:J440" si="400">IF(VLOOKUP($D431,$C$5:$AJ$646,8,)=0,0,((VLOOKUP($D431,$C$5:$AJ$646,8,)/VLOOKUP($D431,$C$5:$AJ$646,4,))*$F431))</f>
        <v>0</v>
      </c>
      <c r="K431" s="98">
        <f t="shared" ref="K431:K440" si="401">IF(VLOOKUP($D431,$C$5:$AJ$646,9,)=0,0,((VLOOKUP($D431,$C$5:$AJ$646,9,)/VLOOKUP($D431,$C$5:$AJ$646,4,))*$F431))</f>
        <v>0</v>
      </c>
      <c r="L431" s="98">
        <f t="shared" ref="L431:L440" si="402">IF(VLOOKUP($D431,$C$5:$AJ$646,10,)=0,0,((VLOOKUP($D431,$C$5:$AJ$646,10,)/VLOOKUP($D431,$C$5:$AJ$646,4,))*$F431))</f>
        <v>0</v>
      </c>
      <c r="M431" s="98">
        <f t="shared" ref="M431:M440" si="403">IF(VLOOKUP($D431,$C$5:$AJ$646,11,)=0,0,((VLOOKUP($D431,$C$5:$AJ$646,11,)/VLOOKUP($D431,$C$5:$AJ$646,4,))*$F431))</f>
        <v>0</v>
      </c>
      <c r="N431" s="98"/>
      <c r="O431" s="98">
        <f t="shared" ref="O431:O440" si="404">IF(VLOOKUP($D431,$C$5:$AJ$646,13,)=0,0,((VLOOKUP($D431,$C$5:$AJ$646,13,)/VLOOKUP($D431,$C$5:$AJ$646,4,))*$F431))</f>
        <v>359333.23340339027</v>
      </c>
      <c r="P431" s="98">
        <f t="shared" ref="P431:P440" si="405">IF(VLOOKUP($D431,$C$5:$AJ$646,14,)=0,0,((VLOOKUP($D431,$C$5:$AJ$646,14,)/VLOOKUP($D431,$C$5:$AJ$646,4,))*$F431))</f>
        <v>338735.44347720454</v>
      </c>
      <c r="Q431" s="98">
        <f t="shared" ref="Q431:Q440" si="406">IF(VLOOKUP($D431,$C$5:$AJ$646,15,)=0,0,((VLOOKUP($D431,$C$5:$AJ$646,15,)/VLOOKUP($D431,$C$5:$AJ$646,4,))*$F431))</f>
        <v>347883.6388769687</v>
      </c>
      <c r="R431" s="98"/>
      <c r="S431" s="98">
        <f t="shared" ref="S431:S440" si="407">IF(VLOOKUP($D431,$C$5:$AJ$646,17,)=0,0,((VLOOKUP($D431,$C$5:$AJ$646,17,)/VLOOKUP($D431,$C$5:$AJ$646,4,))*$F431))</f>
        <v>0</v>
      </c>
      <c r="T431" s="98">
        <f t="shared" ref="T431:T440" si="408">IF(VLOOKUP($D431,$C$5:$AJ$646,18,)=0,0,((VLOOKUP($D431,$C$5:$AJ$646,18,)/VLOOKUP($D431,$C$5:$AJ$646,4,))*$F431))</f>
        <v>0</v>
      </c>
      <c r="U431" s="98">
        <f t="shared" ref="U431:U440" si="409">IF(VLOOKUP($D431,$C$5:$AJ$646,19,)=0,0,((VLOOKUP($D431,$C$5:$AJ$646,19,)/VLOOKUP($D431,$C$5:$AJ$646,4,))*$F431))</f>
        <v>0</v>
      </c>
      <c r="V431" s="98">
        <f t="shared" ref="V431:V440" si="410">IF(VLOOKUP($D431,$C$5:$AJ$646,20,)=0,0,((VLOOKUP($D431,$C$5:$AJ$646,20,)/VLOOKUP($D431,$C$5:$AJ$646,4,))*$F431))</f>
        <v>0</v>
      </c>
      <c r="W431" s="98">
        <f t="shared" ref="W431:W440" si="411">IF(VLOOKUP($D431,$C$5:$AJ$646,21,)=0,0,((VLOOKUP($D431,$C$5:$AJ$646,21,)/VLOOKUP($D431,$C$5:$AJ$646,4,))*$F431))</f>
        <v>0</v>
      </c>
      <c r="X431" s="98">
        <f t="shared" ref="X431:X440" si="412">IF(VLOOKUP($D431,$C$5:$AJ$646,22,)=0,0,((VLOOKUP($D431,$C$5:$AJ$646,22,)/VLOOKUP($D431,$C$5:$AJ$646,4,))*$F431))</f>
        <v>0</v>
      </c>
      <c r="Y431" s="98">
        <f t="shared" ref="Y431:Y440" si="413">IF(VLOOKUP($D431,$C$5:$AJ$646,23,)=0,0,((VLOOKUP($D431,$C$5:$AJ$646,23,)/VLOOKUP($D431,$C$5:$AJ$646,4,))*$F431))</f>
        <v>0</v>
      </c>
      <c r="Z431" s="98">
        <f t="shared" ref="Z431:Z440" si="414">IF(VLOOKUP($D431,$C$5:$AJ$646,24,)=0,0,((VLOOKUP($D431,$C$5:$AJ$646,24,)/VLOOKUP($D431,$C$5:$AJ$646,4,))*$F431))</f>
        <v>0</v>
      </c>
      <c r="AA431" s="98">
        <f t="shared" ref="AA431:AA440" si="415">IF(VLOOKUP($D431,$C$5:$AJ$646,25,)=0,0,((VLOOKUP($D431,$C$5:$AJ$646,25,)/VLOOKUP($D431,$C$5:$AJ$646,4,))*$F431))</f>
        <v>0</v>
      </c>
      <c r="AB431" s="98">
        <f t="shared" ref="AB431:AB440" si="416">IF(VLOOKUP($D431,$C$5:$AJ$646,26,)=0,0,((VLOOKUP($D431,$C$5:$AJ$646,26,)/VLOOKUP($D431,$C$5:$AJ$646,4,))*$F431))</f>
        <v>0</v>
      </c>
      <c r="AC431" s="98">
        <f t="shared" ref="AC431:AC440" si="417">IF(VLOOKUP($D431,$C$5:$AJ$646,27,)=0,0,((VLOOKUP($D431,$C$5:$AJ$646,27,)/VLOOKUP($D431,$C$5:$AJ$646,4,))*$F431))</f>
        <v>0</v>
      </c>
      <c r="AD431" s="98">
        <f t="shared" ref="AD431:AD440" si="418">IF(VLOOKUP($D431,$C$5:$AJ$646,28,)=0,0,((VLOOKUP($D431,$C$5:$AJ$646,28,)/VLOOKUP($D431,$C$5:$AJ$646,4,))*$F431))</f>
        <v>0</v>
      </c>
      <c r="AE431" s="98"/>
      <c r="AF431" s="98">
        <f t="shared" ref="AF431:AF440" si="419">IF(VLOOKUP($D431,$C$5:$AJ$646,30,)=0,0,((VLOOKUP($D431,$C$5:$AJ$646,30,)/VLOOKUP($D431,$C$5:$AJ$646,4,))*$F431))</f>
        <v>0</v>
      </c>
      <c r="AG431" s="98"/>
      <c r="AH431" s="98">
        <f t="shared" ref="AH431:AH440" si="420">IF(VLOOKUP($D431,$C$5:$AJ$646,32,)=0,0,((VLOOKUP($D431,$C$5:$AJ$646,32,)/VLOOKUP($D431,$C$5:$AJ$646,4,))*$F431))</f>
        <v>0</v>
      </c>
      <c r="AI431" s="98"/>
      <c r="AJ431" s="98">
        <f t="shared" ref="AJ431:AJ440" si="421">IF(VLOOKUP($D431,$C$5:$AJ$646,34,)=0,0,((VLOOKUP($D431,$C$5:$AJ$646,34,)/VLOOKUP($D431,$C$5:$AJ$646,4,))*$F431))</f>
        <v>0</v>
      </c>
      <c r="AK431" s="98">
        <f t="shared" ref="AK431:AK440" si="422">SUM(H431:AJ431)</f>
        <v>1045952.3157575636</v>
      </c>
      <c r="AL431" s="95" t="str">
        <f t="shared" ref="AL431:AL440" si="423">IF(ABS(AK431-F431)&lt;1,"ok","err")</f>
        <v>ok</v>
      </c>
    </row>
    <row r="432" spans="1:38" x14ac:dyDescent="0.25">
      <c r="A432" s="94">
        <v>561</v>
      </c>
      <c r="B432" s="94" t="s">
        <v>960</v>
      </c>
      <c r="C432" s="94" t="s">
        <v>1256</v>
      </c>
      <c r="D432" s="94" t="s">
        <v>584</v>
      </c>
      <c r="F432" s="98">
        <f>'Jurisdictional Study'!F1355</f>
        <v>2129244.3493976486</v>
      </c>
      <c r="G432" s="97"/>
      <c r="H432" s="98">
        <f t="shared" si="398"/>
        <v>0</v>
      </c>
      <c r="I432" s="98">
        <f t="shared" si="399"/>
        <v>0</v>
      </c>
      <c r="J432" s="98">
        <f t="shared" si="400"/>
        <v>0</v>
      </c>
      <c r="K432" s="98">
        <f t="shared" si="401"/>
        <v>0</v>
      </c>
      <c r="L432" s="98">
        <f t="shared" si="402"/>
        <v>0</v>
      </c>
      <c r="M432" s="98">
        <f t="shared" si="403"/>
        <v>0</v>
      </c>
      <c r="N432" s="98"/>
      <c r="O432" s="98">
        <f t="shared" si="404"/>
        <v>731494.39534516598</v>
      </c>
      <c r="P432" s="98">
        <f t="shared" si="405"/>
        <v>689563.48974872357</v>
      </c>
      <c r="Q432" s="98">
        <f t="shared" si="406"/>
        <v>708186.46430375893</v>
      </c>
      <c r="R432" s="98"/>
      <c r="S432" s="98">
        <f t="shared" si="407"/>
        <v>0</v>
      </c>
      <c r="T432" s="98">
        <f t="shared" si="408"/>
        <v>0</v>
      </c>
      <c r="U432" s="98">
        <f t="shared" si="409"/>
        <v>0</v>
      </c>
      <c r="V432" s="98">
        <f t="shared" si="410"/>
        <v>0</v>
      </c>
      <c r="W432" s="98">
        <f t="shared" si="411"/>
        <v>0</v>
      </c>
      <c r="X432" s="98">
        <f t="shared" si="412"/>
        <v>0</v>
      </c>
      <c r="Y432" s="98">
        <f t="shared" si="413"/>
        <v>0</v>
      </c>
      <c r="Z432" s="98">
        <f t="shared" si="414"/>
        <v>0</v>
      </c>
      <c r="AA432" s="98">
        <f t="shared" si="415"/>
        <v>0</v>
      </c>
      <c r="AB432" s="98">
        <f t="shared" si="416"/>
        <v>0</v>
      </c>
      <c r="AC432" s="98">
        <f t="shared" si="417"/>
        <v>0</v>
      </c>
      <c r="AD432" s="98">
        <f t="shared" si="418"/>
        <v>0</v>
      </c>
      <c r="AE432" s="98"/>
      <c r="AF432" s="98">
        <f t="shared" si="419"/>
        <v>0</v>
      </c>
      <c r="AG432" s="98"/>
      <c r="AH432" s="98">
        <f t="shared" si="420"/>
        <v>0</v>
      </c>
      <c r="AI432" s="98"/>
      <c r="AJ432" s="98">
        <f t="shared" si="421"/>
        <v>0</v>
      </c>
      <c r="AK432" s="98">
        <f t="shared" si="422"/>
        <v>2129244.3493976486</v>
      </c>
      <c r="AL432" s="95" t="str">
        <f t="shared" si="423"/>
        <v>ok</v>
      </c>
    </row>
    <row r="433" spans="1:38" x14ac:dyDescent="0.25">
      <c r="A433" s="94">
        <v>562</v>
      </c>
      <c r="B433" s="94" t="s">
        <v>567</v>
      </c>
      <c r="C433" s="94" t="s">
        <v>1257</v>
      </c>
      <c r="D433" s="94" t="s">
        <v>584</v>
      </c>
      <c r="F433" s="98">
        <f>'Jurisdictional Study'!F1356</f>
        <v>268512.06397994066</v>
      </c>
      <c r="G433" s="97"/>
      <c r="H433" s="98">
        <f t="shared" si="398"/>
        <v>0</v>
      </c>
      <c r="I433" s="98">
        <f t="shared" si="399"/>
        <v>0</v>
      </c>
      <c r="J433" s="98">
        <f t="shared" si="400"/>
        <v>0</v>
      </c>
      <c r="K433" s="98">
        <f t="shared" si="401"/>
        <v>0</v>
      </c>
      <c r="L433" s="98">
        <f t="shared" si="402"/>
        <v>0</v>
      </c>
      <c r="M433" s="98">
        <f t="shared" si="403"/>
        <v>0</v>
      </c>
      <c r="N433" s="98"/>
      <c r="O433" s="98">
        <f t="shared" si="404"/>
        <v>92246.373667472202</v>
      </c>
      <c r="P433" s="98">
        <f t="shared" si="405"/>
        <v>86958.603849304593</v>
      </c>
      <c r="Q433" s="98">
        <f t="shared" si="406"/>
        <v>89307.086463163854</v>
      </c>
      <c r="R433" s="98"/>
      <c r="S433" s="98">
        <f t="shared" si="407"/>
        <v>0</v>
      </c>
      <c r="T433" s="98">
        <f t="shared" si="408"/>
        <v>0</v>
      </c>
      <c r="U433" s="98">
        <f t="shared" si="409"/>
        <v>0</v>
      </c>
      <c r="V433" s="98">
        <f t="shared" si="410"/>
        <v>0</v>
      </c>
      <c r="W433" s="98">
        <f t="shared" si="411"/>
        <v>0</v>
      </c>
      <c r="X433" s="98">
        <f t="shared" si="412"/>
        <v>0</v>
      </c>
      <c r="Y433" s="98">
        <f t="shared" si="413"/>
        <v>0</v>
      </c>
      <c r="Z433" s="98">
        <f t="shared" si="414"/>
        <v>0</v>
      </c>
      <c r="AA433" s="98">
        <f t="shared" si="415"/>
        <v>0</v>
      </c>
      <c r="AB433" s="98">
        <f t="shared" si="416"/>
        <v>0</v>
      </c>
      <c r="AC433" s="98">
        <f t="shared" si="417"/>
        <v>0</v>
      </c>
      <c r="AD433" s="98">
        <f t="shared" si="418"/>
        <v>0</v>
      </c>
      <c r="AE433" s="98"/>
      <c r="AF433" s="98">
        <f t="shared" si="419"/>
        <v>0</v>
      </c>
      <c r="AG433" s="98"/>
      <c r="AH433" s="98">
        <f t="shared" si="420"/>
        <v>0</v>
      </c>
      <c r="AI433" s="98"/>
      <c r="AJ433" s="98">
        <f t="shared" si="421"/>
        <v>0</v>
      </c>
      <c r="AK433" s="98">
        <f t="shared" si="422"/>
        <v>268512.06397994066</v>
      </c>
      <c r="AL433" s="95" t="str">
        <f t="shared" si="423"/>
        <v>ok</v>
      </c>
    </row>
    <row r="434" spans="1:38" x14ac:dyDescent="0.25">
      <c r="A434" s="94">
        <v>563</v>
      </c>
      <c r="B434" s="94" t="s">
        <v>962</v>
      </c>
      <c r="C434" s="94" t="s">
        <v>1258</v>
      </c>
      <c r="D434" s="94" t="s">
        <v>584</v>
      </c>
      <c r="F434" s="98">
        <f>'Jurisdictional Study'!F1357</f>
        <v>55713.227308959897</v>
      </c>
      <c r="G434" s="97"/>
      <c r="H434" s="98">
        <f t="shared" si="398"/>
        <v>0</v>
      </c>
      <c r="I434" s="98">
        <f t="shared" si="399"/>
        <v>0</v>
      </c>
      <c r="J434" s="98">
        <f t="shared" si="400"/>
        <v>0</v>
      </c>
      <c r="K434" s="98">
        <f t="shared" si="401"/>
        <v>0</v>
      </c>
      <c r="L434" s="98">
        <f t="shared" si="402"/>
        <v>0</v>
      </c>
      <c r="M434" s="98">
        <f t="shared" si="403"/>
        <v>0</v>
      </c>
      <c r="N434" s="98"/>
      <c r="O434" s="98">
        <f t="shared" si="404"/>
        <v>19140.082975739475</v>
      </c>
      <c r="P434" s="98">
        <f t="shared" si="405"/>
        <v>18042.93032840428</v>
      </c>
      <c r="Q434" s="98">
        <f t="shared" si="406"/>
        <v>18530.214004816138</v>
      </c>
      <c r="R434" s="98"/>
      <c r="S434" s="98">
        <f t="shared" si="407"/>
        <v>0</v>
      </c>
      <c r="T434" s="98">
        <f t="shared" si="408"/>
        <v>0</v>
      </c>
      <c r="U434" s="98">
        <f t="shared" si="409"/>
        <v>0</v>
      </c>
      <c r="V434" s="98">
        <f t="shared" si="410"/>
        <v>0</v>
      </c>
      <c r="W434" s="98">
        <f t="shared" si="411"/>
        <v>0</v>
      </c>
      <c r="X434" s="98">
        <f t="shared" si="412"/>
        <v>0</v>
      </c>
      <c r="Y434" s="98">
        <f t="shared" si="413"/>
        <v>0</v>
      </c>
      <c r="Z434" s="98">
        <f t="shared" si="414"/>
        <v>0</v>
      </c>
      <c r="AA434" s="98">
        <f t="shared" si="415"/>
        <v>0</v>
      </c>
      <c r="AB434" s="98">
        <f t="shared" si="416"/>
        <v>0</v>
      </c>
      <c r="AC434" s="98">
        <f t="shared" si="417"/>
        <v>0</v>
      </c>
      <c r="AD434" s="98">
        <f t="shared" si="418"/>
        <v>0</v>
      </c>
      <c r="AE434" s="98"/>
      <c r="AF434" s="98">
        <f t="shared" si="419"/>
        <v>0</v>
      </c>
      <c r="AG434" s="98"/>
      <c r="AH434" s="98">
        <f t="shared" si="420"/>
        <v>0</v>
      </c>
      <c r="AI434" s="98"/>
      <c r="AJ434" s="98">
        <f t="shared" si="421"/>
        <v>0</v>
      </c>
      <c r="AK434" s="98">
        <f t="shared" si="422"/>
        <v>55713.227308959889</v>
      </c>
      <c r="AL434" s="95" t="str">
        <f t="shared" si="423"/>
        <v>ok</v>
      </c>
    </row>
    <row r="435" spans="1:38" x14ac:dyDescent="0.25">
      <c r="A435" s="94">
        <v>566</v>
      </c>
      <c r="B435" s="94" t="s">
        <v>1109</v>
      </c>
      <c r="C435" s="94" t="s">
        <v>1113</v>
      </c>
      <c r="D435" s="94" t="s">
        <v>584</v>
      </c>
      <c r="F435" s="98">
        <f>'Jurisdictional Study'!F1359</f>
        <v>335385.50266154949</v>
      </c>
      <c r="G435" s="97"/>
      <c r="H435" s="98">
        <f t="shared" si="398"/>
        <v>0</v>
      </c>
      <c r="I435" s="98">
        <f t="shared" si="399"/>
        <v>0</v>
      </c>
      <c r="J435" s="98">
        <f t="shared" si="400"/>
        <v>0</v>
      </c>
      <c r="K435" s="98">
        <f t="shared" si="401"/>
        <v>0</v>
      </c>
      <c r="L435" s="98">
        <f t="shared" si="402"/>
        <v>0</v>
      </c>
      <c r="M435" s="98">
        <f t="shared" si="403"/>
        <v>0</v>
      </c>
      <c r="N435" s="98"/>
      <c r="O435" s="98">
        <f t="shared" si="404"/>
        <v>115220.50794515338</v>
      </c>
      <c r="P435" s="98">
        <f t="shared" si="405"/>
        <v>108615.80902720384</v>
      </c>
      <c r="Q435" s="98">
        <f t="shared" si="406"/>
        <v>111549.18568919225</v>
      </c>
      <c r="R435" s="98"/>
      <c r="S435" s="98">
        <f t="shared" si="407"/>
        <v>0</v>
      </c>
      <c r="T435" s="98">
        <f t="shared" si="408"/>
        <v>0</v>
      </c>
      <c r="U435" s="98">
        <f t="shared" si="409"/>
        <v>0</v>
      </c>
      <c r="V435" s="98">
        <f t="shared" si="410"/>
        <v>0</v>
      </c>
      <c r="W435" s="98">
        <f t="shared" si="411"/>
        <v>0</v>
      </c>
      <c r="X435" s="98">
        <f t="shared" si="412"/>
        <v>0</v>
      </c>
      <c r="Y435" s="98">
        <f t="shared" si="413"/>
        <v>0</v>
      </c>
      <c r="Z435" s="98">
        <f t="shared" si="414"/>
        <v>0</v>
      </c>
      <c r="AA435" s="98">
        <f t="shared" si="415"/>
        <v>0</v>
      </c>
      <c r="AB435" s="98">
        <f t="shared" si="416"/>
        <v>0</v>
      </c>
      <c r="AC435" s="98">
        <f t="shared" si="417"/>
        <v>0</v>
      </c>
      <c r="AD435" s="98">
        <f t="shared" si="418"/>
        <v>0</v>
      </c>
      <c r="AE435" s="98"/>
      <c r="AF435" s="98">
        <f t="shared" si="419"/>
        <v>0</v>
      </c>
      <c r="AG435" s="98"/>
      <c r="AH435" s="98">
        <f t="shared" si="420"/>
        <v>0</v>
      </c>
      <c r="AI435" s="98"/>
      <c r="AJ435" s="98">
        <f t="shared" si="421"/>
        <v>0</v>
      </c>
      <c r="AK435" s="98">
        <f t="shared" si="422"/>
        <v>335385.50266154949</v>
      </c>
      <c r="AL435" s="95" t="str">
        <f t="shared" si="423"/>
        <v>ok</v>
      </c>
    </row>
    <row r="436" spans="1:38" x14ac:dyDescent="0.25">
      <c r="A436" s="94">
        <v>568</v>
      </c>
      <c r="B436" s="94" t="s">
        <v>568</v>
      </c>
      <c r="C436" s="94" t="s">
        <v>1259</v>
      </c>
      <c r="D436" s="94" t="s">
        <v>584</v>
      </c>
      <c r="F436" s="98">
        <v>0</v>
      </c>
      <c r="G436" s="97"/>
      <c r="H436" s="98">
        <f t="shared" si="398"/>
        <v>0</v>
      </c>
      <c r="I436" s="98">
        <f t="shared" si="399"/>
        <v>0</v>
      </c>
      <c r="J436" s="98">
        <f t="shared" si="400"/>
        <v>0</v>
      </c>
      <c r="K436" s="98">
        <f t="shared" si="401"/>
        <v>0</v>
      </c>
      <c r="L436" s="98">
        <f t="shared" si="402"/>
        <v>0</v>
      </c>
      <c r="M436" s="98">
        <f t="shared" si="403"/>
        <v>0</v>
      </c>
      <c r="N436" s="98"/>
      <c r="O436" s="98">
        <f t="shared" si="404"/>
        <v>0</v>
      </c>
      <c r="P436" s="98">
        <f t="shared" si="405"/>
        <v>0</v>
      </c>
      <c r="Q436" s="98">
        <f t="shared" si="406"/>
        <v>0</v>
      </c>
      <c r="R436" s="98"/>
      <c r="S436" s="98">
        <f t="shared" si="407"/>
        <v>0</v>
      </c>
      <c r="T436" s="98">
        <f t="shared" si="408"/>
        <v>0</v>
      </c>
      <c r="U436" s="98">
        <f t="shared" si="409"/>
        <v>0</v>
      </c>
      <c r="V436" s="98">
        <f t="shared" si="410"/>
        <v>0</v>
      </c>
      <c r="W436" s="98">
        <f t="shared" si="411"/>
        <v>0</v>
      </c>
      <c r="X436" s="98">
        <f t="shared" si="412"/>
        <v>0</v>
      </c>
      <c r="Y436" s="98">
        <f t="shared" si="413"/>
        <v>0</v>
      </c>
      <c r="Z436" s="98">
        <f t="shared" si="414"/>
        <v>0</v>
      </c>
      <c r="AA436" s="98">
        <f t="shared" si="415"/>
        <v>0</v>
      </c>
      <c r="AB436" s="98">
        <f t="shared" si="416"/>
        <v>0</v>
      </c>
      <c r="AC436" s="98">
        <f t="shared" si="417"/>
        <v>0</v>
      </c>
      <c r="AD436" s="98">
        <f t="shared" si="418"/>
        <v>0</v>
      </c>
      <c r="AE436" s="98"/>
      <c r="AF436" s="98">
        <f t="shared" si="419"/>
        <v>0</v>
      </c>
      <c r="AG436" s="98"/>
      <c r="AH436" s="98">
        <f t="shared" si="420"/>
        <v>0</v>
      </c>
      <c r="AI436" s="98"/>
      <c r="AJ436" s="98">
        <f t="shared" si="421"/>
        <v>0</v>
      </c>
      <c r="AK436" s="98">
        <f t="shared" si="422"/>
        <v>0</v>
      </c>
      <c r="AL436" s="95" t="str">
        <f t="shared" si="423"/>
        <v>ok</v>
      </c>
    </row>
    <row r="437" spans="1:38" x14ac:dyDescent="0.25">
      <c r="A437" s="94">
        <v>570</v>
      </c>
      <c r="B437" s="94" t="s">
        <v>570</v>
      </c>
      <c r="C437" s="94" t="s">
        <v>1260</v>
      </c>
      <c r="D437" s="94" t="s">
        <v>584</v>
      </c>
      <c r="F437" s="98">
        <f>'Jurisdictional Study'!F1362</f>
        <v>559103.31433597801</v>
      </c>
      <c r="G437" s="97"/>
      <c r="H437" s="98">
        <f t="shared" si="398"/>
        <v>0</v>
      </c>
      <c r="I437" s="98">
        <f t="shared" si="399"/>
        <v>0</v>
      </c>
      <c r="J437" s="98">
        <f t="shared" si="400"/>
        <v>0</v>
      </c>
      <c r="K437" s="98">
        <f t="shared" si="401"/>
        <v>0</v>
      </c>
      <c r="L437" s="98">
        <f t="shared" si="402"/>
        <v>0</v>
      </c>
      <c r="M437" s="98">
        <f t="shared" si="403"/>
        <v>0</v>
      </c>
      <c r="N437" s="98"/>
      <c r="O437" s="98">
        <f t="shared" si="404"/>
        <v>192077.97403401491</v>
      </c>
      <c r="P437" s="98">
        <f t="shared" si="405"/>
        <v>181067.63212623337</v>
      </c>
      <c r="Q437" s="98">
        <f t="shared" si="406"/>
        <v>185957.7081757297</v>
      </c>
      <c r="R437" s="98"/>
      <c r="S437" s="98">
        <f t="shared" si="407"/>
        <v>0</v>
      </c>
      <c r="T437" s="98">
        <f t="shared" si="408"/>
        <v>0</v>
      </c>
      <c r="U437" s="98">
        <f t="shared" si="409"/>
        <v>0</v>
      </c>
      <c r="V437" s="98">
        <f t="shared" si="410"/>
        <v>0</v>
      </c>
      <c r="W437" s="98">
        <f t="shared" si="411"/>
        <v>0</v>
      </c>
      <c r="X437" s="98">
        <f t="shared" si="412"/>
        <v>0</v>
      </c>
      <c r="Y437" s="98">
        <f t="shared" si="413"/>
        <v>0</v>
      </c>
      <c r="Z437" s="98">
        <f t="shared" si="414"/>
        <v>0</v>
      </c>
      <c r="AA437" s="98">
        <f t="shared" si="415"/>
        <v>0</v>
      </c>
      <c r="AB437" s="98">
        <f t="shared" si="416"/>
        <v>0</v>
      </c>
      <c r="AC437" s="98">
        <f t="shared" si="417"/>
        <v>0</v>
      </c>
      <c r="AD437" s="98">
        <f t="shared" si="418"/>
        <v>0</v>
      </c>
      <c r="AE437" s="98"/>
      <c r="AF437" s="98">
        <f t="shared" si="419"/>
        <v>0</v>
      </c>
      <c r="AG437" s="98"/>
      <c r="AH437" s="98">
        <f t="shared" si="420"/>
        <v>0</v>
      </c>
      <c r="AI437" s="98"/>
      <c r="AJ437" s="98">
        <f t="shared" si="421"/>
        <v>0</v>
      </c>
      <c r="AK437" s="98">
        <f t="shared" si="422"/>
        <v>559103.31433597801</v>
      </c>
      <c r="AL437" s="95" t="str">
        <f t="shared" si="423"/>
        <v>ok</v>
      </c>
    </row>
    <row r="438" spans="1:38" x14ac:dyDescent="0.25">
      <c r="A438" s="94">
        <v>571</v>
      </c>
      <c r="B438" s="94" t="s">
        <v>571</v>
      </c>
      <c r="C438" s="94" t="s">
        <v>1261</v>
      </c>
      <c r="D438" s="94" t="s">
        <v>584</v>
      </c>
      <c r="F438" s="98">
        <f>'Jurisdictional Study'!F1363</f>
        <v>177051.04450604654</v>
      </c>
      <c r="G438" s="97"/>
      <c r="H438" s="98">
        <f t="shared" si="398"/>
        <v>0</v>
      </c>
      <c r="I438" s="98">
        <f t="shared" si="399"/>
        <v>0</v>
      </c>
      <c r="J438" s="98">
        <f t="shared" si="400"/>
        <v>0</v>
      </c>
      <c r="K438" s="98">
        <f t="shared" si="401"/>
        <v>0</v>
      </c>
      <c r="L438" s="98">
        <f t="shared" si="402"/>
        <v>0</v>
      </c>
      <c r="M438" s="98">
        <f t="shared" si="403"/>
        <v>0</v>
      </c>
      <c r="N438" s="98"/>
      <c r="O438" s="98">
        <f t="shared" si="404"/>
        <v>60825.26262559709</v>
      </c>
      <c r="P438" s="98">
        <f t="shared" si="405"/>
        <v>57338.621632497947</v>
      </c>
      <c r="Q438" s="98">
        <f t="shared" si="406"/>
        <v>58887.160247951491</v>
      </c>
      <c r="R438" s="98"/>
      <c r="S438" s="98">
        <f t="shared" si="407"/>
        <v>0</v>
      </c>
      <c r="T438" s="98">
        <f t="shared" si="408"/>
        <v>0</v>
      </c>
      <c r="U438" s="98">
        <f t="shared" si="409"/>
        <v>0</v>
      </c>
      <c r="V438" s="98">
        <f t="shared" si="410"/>
        <v>0</v>
      </c>
      <c r="W438" s="98">
        <f t="shared" si="411"/>
        <v>0</v>
      </c>
      <c r="X438" s="98">
        <f t="shared" si="412"/>
        <v>0</v>
      </c>
      <c r="Y438" s="98">
        <f t="shared" si="413"/>
        <v>0</v>
      </c>
      <c r="Z438" s="98">
        <f t="shared" si="414"/>
        <v>0</v>
      </c>
      <c r="AA438" s="98">
        <f t="shared" si="415"/>
        <v>0</v>
      </c>
      <c r="AB438" s="98">
        <f t="shared" si="416"/>
        <v>0</v>
      </c>
      <c r="AC438" s="98">
        <f t="shared" si="417"/>
        <v>0</v>
      </c>
      <c r="AD438" s="98">
        <f t="shared" si="418"/>
        <v>0</v>
      </c>
      <c r="AE438" s="98"/>
      <c r="AF438" s="98">
        <f t="shared" si="419"/>
        <v>0</v>
      </c>
      <c r="AG438" s="98"/>
      <c r="AH438" s="98">
        <f t="shared" si="420"/>
        <v>0</v>
      </c>
      <c r="AI438" s="98"/>
      <c r="AJ438" s="98">
        <f t="shared" si="421"/>
        <v>0</v>
      </c>
      <c r="AK438" s="98">
        <f>SUM(H438:AJ438)</f>
        <v>177051.04450604651</v>
      </c>
      <c r="AL438" s="95" t="str">
        <f>IF(ABS(AK438-F438)&lt;1,"ok","err")</f>
        <v>ok</v>
      </c>
    </row>
    <row r="439" spans="1:38" x14ac:dyDescent="0.25">
      <c r="A439" s="94">
        <v>572</v>
      </c>
      <c r="B439" s="94" t="s">
        <v>1978</v>
      </c>
      <c r="C439" s="94" t="s">
        <v>2217</v>
      </c>
      <c r="D439" s="94" t="s">
        <v>584</v>
      </c>
      <c r="F439" s="98">
        <f>'Jurisdictional Study'!F1364</f>
        <v>0</v>
      </c>
      <c r="G439" s="97"/>
      <c r="H439" s="98">
        <f t="shared" si="398"/>
        <v>0</v>
      </c>
      <c r="I439" s="98">
        <f t="shared" si="399"/>
        <v>0</v>
      </c>
      <c r="J439" s="98">
        <f t="shared" si="400"/>
        <v>0</v>
      </c>
      <c r="K439" s="98">
        <f t="shared" si="401"/>
        <v>0</v>
      </c>
      <c r="L439" s="98">
        <f t="shared" si="402"/>
        <v>0</v>
      </c>
      <c r="M439" s="98">
        <f t="shared" si="403"/>
        <v>0</v>
      </c>
      <c r="N439" s="98"/>
      <c r="O439" s="98">
        <f t="shared" si="404"/>
        <v>0</v>
      </c>
      <c r="P439" s="98">
        <f t="shared" si="405"/>
        <v>0</v>
      </c>
      <c r="Q439" s="98">
        <f t="shared" si="406"/>
        <v>0</v>
      </c>
      <c r="R439" s="98"/>
      <c r="S439" s="98">
        <f t="shared" si="407"/>
        <v>0</v>
      </c>
      <c r="T439" s="98">
        <f t="shared" si="408"/>
        <v>0</v>
      </c>
      <c r="U439" s="98">
        <f t="shared" si="409"/>
        <v>0</v>
      </c>
      <c r="V439" s="98">
        <f t="shared" si="410"/>
        <v>0</v>
      </c>
      <c r="W439" s="98">
        <f t="shared" si="411"/>
        <v>0</v>
      </c>
      <c r="X439" s="98">
        <f t="shared" si="412"/>
        <v>0</v>
      </c>
      <c r="Y439" s="98">
        <f t="shared" si="413"/>
        <v>0</v>
      </c>
      <c r="Z439" s="98">
        <f t="shared" si="414"/>
        <v>0</v>
      </c>
      <c r="AA439" s="98">
        <f t="shared" si="415"/>
        <v>0</v>
      </c>
      <c r="AB439" s="98">
        <f t="shared" si="416"/>
        <v>0</v>
      </c>
      <c r="AC439" s="98">
        <f t="shared" si="417"/>
        <v>0</v>
      </c>
      <c r="AD439" s="98">
        <f t="shared" si="418"/>
        <v>0</v>
      </c>
      <c r="AE439" s="98"/>
      <c r="AF439" s="98">
        <f t="shared" si="419"/>
        <v>0</v>
      </c>
      <c r="AG439" s="98"/>
      <c r="AH439" s="98">
        <f t="shared" si="420"/>
        <v>0</v>
      </c>
      <c r="AI439" s="98"/>
      <c r="AJ439" s="98">
        <f t="shared" si="421"/>
        <v>0</v>
      </c>
      <c r="AK439" s="98">
        <f>SUM(H439:AJ439)</f>
        <v>0</v>
      </c>
      <c r="AL439" s="95" t="str">
        <f>IF(ABS(AK439-F439)&lt;1,"ok","err")</f>
        <v>ok</v>
      </c>
    </row>
    <row r="440" spans="1:38" x14ac:dyDescent="0.25">
      <c r="A440" s="94">
        <v>573</v>
      </c>
      <c r="B440" s="94" t="s">
        <v>1980</v>
      </c>
      <c r="C440" s="94" t="s">
        <v>2218</v>
      </c>
      <c r="D440" s="94" t="s">
        <v>584</v>
      </c>
      <c r="F440" s="98">
        <f>'Jurisdictional Study'!F1365</f>
        <v>88167.102240037886</v>
      </c>
      <c r="G440" s="97"/>
      <c r="H440" s="98">
        <f t="shared" si="398"/>
        <v>0</v>
      </c>
      <c r="I440" s="98">
        <f t="shared" si="399"/>
        <v>0</v>
      </c>
      <c r="J440" s="98">
        <f t="shared" si="400"/>
        <v>0</v>
      </c>
      <c r="K440" s="98">
        <f t="shared" si="401"/>
        <v>0</v>
      </c>
      <c r="L440" s="98">
        <f t="shared" si="402"/>
        <v>0</v>
      </c>
      <c r="M440" s="98">
        <f t="shared" si="403"/>
        <v>0</v>
      </c>
      <c r="N440" s="98"/>
      <c r="O440" s="98">
        <f t="shared" si="404"/>
        <v>30289.497379977485</v>
      </c>
      <c r="P440" s="98">
        <f t="shared" si="405"/>
        <v>28553.235197675698</v>
      </c>
      <c r="Q440" s="98">
        <f t="shared" si="406"/>
        <v>29324.369662384699</v>
      </c>
      <c r="R440" s="98"/>
      <c r="S440" s="98">
        <f t="shared" si="407"/>
        <v>0</v>
      </c>
      <c r="T440" s="98">
        <f t="shared" si="408"/>
        <v>0</v>
      </c>
      <c r="U440" s="98">
        <f t="shared" si="409"/>
        <v>0</v>
      </c>
      <c r="V440" s="98">
        <f t="shared" si="410"/>
        <v>0</v>
      </c>
      <c r="W440" s="98">
        <f t="shared" si="411"/>
        <v>0</v>
      </c>
      <c r="X440" s="98">
        <f t="shared" si="412"/>
        <v>0</v>
      </c>
      <c r="Y440" s="98">
        <f t="shared" si="413"/>
        <v>0</v>
      </c>
      <c r="Z440" s="98">
        <f t="shared" si="414"/>
        <v>0</v>
      </c>
      <c r="AA440" s="98">
        <f t="shared" si="415"/>
        <v>0</v>
      </c>
      <c r="AB440" s="98">
        <f t="shared" si="416"/>
        <v>0</v>
      </c>
      <c r="AC440" s="98">
        <f t="shared" si="417"/>
        <v>0</v>
      </c>
      <c r="AD440" s="98">
        <f t="shared" si="418"/>
        <v>0</v>
      </c>
      <c r="AE440" s="98"/>
      <c r="AF440" s="98">
        <f t="shared" si="419"/>
        <v>0</v>
      </c>
      <c r="AG440" s="98"/>
      <c r="AH440" s="98">
        <f t="shared" si="420"/>
        <v>0</v>
      </c>
      <c r="AI440" s="98"/>
      <c r="AJ440" s="98">
        <f t="shared" si="421"/>
        <v>0</v>
      </c>
      <c r="AK440" s="98">
        <f t="shared" si="422"/>
        <v>88167.102240037872</v>
      </c>
      <c r="AL440" s="95" t="str">
        <f t="shared" si="423"/>
        <v>ok</v>
      </c>
    </row>
    <row r="441" spans="1:38" x14ac:dyDescent="0.25"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8"/>
      <c r="AL441" s="95"/>
    </row>
    <row r="442" spans="1:38" x14ac:dyDescent="0.25">
      <c r="A442" s="94" t="s">
        <v>1314</v>
      </c>
      <c r="C442" s="94" t="s">
        <v>889</v>
      </c>
      <c r="F442" s="99">
        <f>SUM(F431:F441)</f>
        <v>4659128.9201877248</v>
      </c>
      <c r="G442" s="99">
        <f>SUM(G431:G440)</f>
        <v>0</v>
      </c>
      <c r="H442" s="99">
        <f t="shared" ref="H442:M442" si="424">SUM(H431:H441)</f>
        <v>0</v>
      </c>
      <c r="I442" s="99">
        <f t="shared" si="424"/>
        <v>0</v>
      </c>
      <c r="J442" s="99">
        <f t="shared" si="424"/>
        <v>0</v>
      </c>
      <c r="K442" s="99">
        <f t="shared" si="424"/>
        <v>0</v>
      </c>
      <c r="L442" s="99">
        <f t="shared" si="424"/>
        <v>0</v>
      </c>
      <c r="M442" s="99">
        <f t="shared" si="424"/>
        <v>0</v>
      </c>
      <c r="N442" s="98"/>
      <c r="O442" s="99">
        <f>SUM(O431:O441)</f>
        <v>1600627.3273765107</v>
      </c>
      <c r="P442" s="99">
        <f>SUM(P431:P441)</f>
        <v>1508875.7653872478</v>
      </c>
      <c r="Q442" s="99">
        <f>SUM(Q431:Q441)</f>
        <v>1549625.8274239658</v>
      </c>
      <c r="R442" s="98"/>
      <c r="S442" s="99">
        <f t="shared" ref="S442:AD442" si="425">SUM(S431:S441)</f>
        <v>0</v>
      </c>
      <c r="T442" s="99">
        <f t="shared" si="425"/>
        <v>0</v>
      </c>
      <c r="U442" s="99">
        <f t="shared" si="425"/>
        <v>0</v>
      </c>
      <c r="V442" s="99">
        <f t="shared" si="425"/>
        <v>0</v>
      </c>
      <c r="W442" s="99">
        <f t="shared" si="425"/>
        <v>0</v>
      </c>
      <c r="X442" s="99">
        <f t="shared" si="425"/>
        <v>0</v>
      </c>
      <c r="Y442" s="99">
        <f t="shared" si="425"/>
        <v>0</v>
      </c>
      <c r="Z442" s="99">
        <f t="shared" si="425"/>
        <v>0</v>
      </c>
      <c r="AA442" s="99">
        <f t="shared" si="425"/>
        <v>0</v>
      </c>
      <c r="AB442" s="99">
        <f t="shared" si="425"/>
        <v>0</v>
      </c>
      <c r="AC442" s="99">
        <f t="shared" si="425"/>
        <v>0</v>
      </c>
      <c r="AD442" s="99">
        <f t="shared" si="425"/>
        <v>0</v>
      </c>
      <c r="AE442" s="98"/>
      <c r="AF442" s="99">
        <f>SUM(AF431:AF441)</f>
        <v>0</v>
      </c>
      <c r="AG442" s="98"/>
      <c r="AH442" s="99">
        <f>SUM(AH431:AH441)</f>
        <v>0</v>
      </c>
      <c r="AI442" s="98"/>
      <c r="AJ442" s="99">
        <f>SUM(AJ431:AJ441)</f>
        <v>0</v>
      </c>
      <c r="AK442" s="97">
        <f>SUM(H442:AJ442)</f>
        <v>4659128.9201877238</v>
      </c>
      <c r="AL442" s="95" t="str">
        <f>IF(ABS(AK442-F442)&lt;1,"ok","err")</f>
        <v>ok</v>
      </c>
    </row>
    <row r="443" spans="1:38" x14ac:dyDescent="0.25">
      <c r="Y443" s="94"/>
      <c r="AL443" s="95"/>
    </row>
    <row r="444" spans="1:38" x14ac:dyDescent="0.25">
      <c r="A444" s="16" t="s">
        <v>1316</v>
      </c>
      <c r="Y444" s="94"/>
      <c r="AL444" s="95"/>
    </row>
    <row r="445" spans="1:38" x14ac:dyDescent="0.25">
      <c r="A445" s="94">
        <v>580</v>
      </c>
      <c r="B445" s="94" t="s">
        <v>958</v>
      </c>
      <c r="C445" s="94" t="s">
        <v>1262</v>
      </c>
      <c r="D445" s="94" t="s">
        <v>897</v>
      </c>
      <c r="F445" s="97">
        <f>'Jurisdictional Study'!F1370</f>
        <v>1295319.5735034929</v>
      </c>
      <c r="H445" s="98">
        <f t="shared" ref="H445:H455" si="426">IF(VLOOKUP($D445,$C$5:$AJ$646,6,)=0,0,((VLOOKUP($D445,$C$5:$AJ$646,6,)/VLOOKUP($D445,$C$5:$AJ$646,4,))*$F445))</f>
        <v>0</v>
      </c>
      <c r="I445" s="98">
        <f t="shared" ref="I445:I455" si="427">IF(VLOOKUP($D445,$C$5:$AJ$646,7,)=0,0,((VLOOKUP($D445,$C$5:$AJ$646,7,)/VLOOKUP($D445,$C$5:$AJ$646,4,))*$F445))</f>
        <v>0</v>
      </c>
      <c r="J445" s="98">
        <f t="shared" ref="J445:J455" si="428">IF(VLOOKUP($D445,$C$5:$AJ$646,8,)=0,0,((VLOOKUP($D445,$C$5:$AJ$646,8,)/VLOOKUP($D445,$C$5:$AJ$646,4,))*$F445))</f>
        <v>0</v>
      </c>
      <c r="K445" s="98">
        <f t="shared" ref="K445:K455" si="429">IF(VLOOKUP($D445,$C$5:$AJ$646,9,)=0,0,((VLOOKUP($D445,$C$5:$AJ$646,9,)/VLOOKUP($D445,$C$5:$AJ$646,4,))*$F445))</f>
        <v>0</v>
      </c>
      <c r="L445" s="98">
        <f t="shared" ref="L445:L455" si="430">IF(VLOOKUP($D445,$C$5:$AJ$646,10,)=0,0,((VLOOKUP($D445,$C$5:$AJ$646,10,)/VLOOKUP($D445,$C$5:$AJ$646,4,))*$F445))</f>
        <v>0</v>
      </c>
      <c r="M445" s="98">
        <f t="shared" ref="M445:M455" si="431">IF(VLOOKUP($D445,$C$5:$AJ$646,11,)=0,0,((VLOOKUP($D445,$C$5:$AJ$646,11,)/VLOOKUP($D445,$C$5:$AJ$646,4,))*$F445))</f>
        <v>0</v>
      </c>
      <c r="N445" s="98"/>
      <c r="O445" s="98">
        <f t="shared" ref="O445:O455" si="432">IF(VLOOKUP($D445,$C$5:$AJ$646,13,)=0,0,((VLOOKUP($D445,$C$5:$AJ$646,13,)/VLOOKUP($D445,$C$5:$AJ$646,4,))*$F445))</f>
        <v>0</v>
      </c>
      <c r="P445" s="98">
        <f t="shared" ref="P445:P455" si="433">IF(VLOOKUP($D445,$C$5:$AJ$646,14,)=0,0,((VLOOKUP($D445,$C$5:$AJ$646,14,)/VLOOKUP($D445,$C$5:$AJ$646,4,))*$F445))</f>
        <v>0</v>
      </c>
      <c r="Q445" s="98">
        <f t="shared" ref="Q445:Q455" si="434">IF(VLOOKUP($D445,$C$5:$AJ$646,15,)=0,0,((VLOOKUP($D445,$C$5:$AJ$646,15,)/VLOOKUP($D445,$C$5:$AJ$646,4,))*$F445))</f>
        <v>0</v>
      </c>
      <c r="R445" s="98"/>
      <c r="S445" s="98">
        <f t="shared" ref="S445:S455" si="435">IF(VLOOKUP($D445,$C$5:$AJ$646,17,)=0,0,((VLOOKUP($D445,$C$5:$AJ$646,17,)/VLOOKUP($D445,$C$5:$AJ$646,4,))*$F445))</f>
        <v>0</v>
      </c>
      <c r="T445" s="98">
        <f t="shared" ref="T445:T455" si="436">IF(VLOOKUP($D445,$C$5:$AJ$646,18,)=0,0,((VLOOKUP($D445,$C$5:$AJ$646,18,)/VLOOKUP($D445,$C$5:$AJ$646,4,))*$F445))</f>
        <v>225598.64766768148</v>
      </c>
      <c r="U445" s="98">
        <f t="shared" ref="U445:U455" si="437">IF(VLOOKUP($D445,$C$5:$AJ$646,19,)=0,0,((VLOOKUP($D445,$C$5:$AJ$646,19,)/VLOOKUP($D445,$C$5:$AJ$646,4,))*$F445))</f>
        <v>0</v>
      </c>
      <c r="V445" s="98">
        <f t="shared" ref="V445:V455" si="438">IF(VLOOKUP($D445,$C$5:$AJ$646,20,)=0,0,((VLOOKUP($D445,$C$5:$AJ$646,20,)/VLOOKUP($D445,$C$5:$AJ$646,4,))*$F445))</f>
        <v>140474.98104808907</v>
      </c>
      <c r="W445" s="98">
        <f t="shared" ref="W445:W455" si="439">IF(VLOOKUP($D445,$C$5:$AJ$646,21,)=0,0,((VLOOKUP($D445,$C$5:$AJ$646,21,)/VLOOKUP($D445,$C$5:$AJ$646,4,))*$F445))</f>
        <v>187081.54075593426</v>
      </c>
      <c r="X445" s="98">
        <f t="shared" ref="X445:X455" si="440">IF(VLOOKUP($D445,$C$5:$AJ$646,22,)=0,0,((VLOOKUP($D445,$C$5:$AJ$646,22,)/VLOOKUP($D445,$C$5:$AJ$646,4,))*$F445))</f>
        <v>24789.702537898072</v>
      </c>
      <c r="Y445" s="98">
        <f t="shared" ref="Y445:Y455" si="441">IF(VLOOKUP($D445,$C$5:$AJ$646,23,)=0,0,((VLOOKUP($D445,$C$5:$AJ$646,23,)/VLOOKUP($D445,$C$5:$AJ$646,4,))*$F445))</f>
        <v>33014.389545164871</v>
      </c>
      <c r="Z445" s="98">
        <f t="shared" ref="Z445:Z455" si="442">IF(VLOOKUP($D445,$C$5:$AJ$646,24,)=0,0,((VLOOKUP($D445,$C$5:$AJ$646,24,)/VLOOKUP($D445,$C$5:$AJ$646,4,))*$F445))</f>
        <v>36708.609819791898</v>
      </c>
      <c r="AA445" s="98">
        <f t="shared" ref="AA445:AA455" si="443">IF(VLOOKUP($D445,$C$5:$AJ$646,25,)=0,0,((VLOOKUP($D445,$C$5:$AJ$646,25,)/VLOOKUP($D445,$C$5:$AJ$646,4,))*$F445))</f>
        <v>31409.055460950167</v>
      </c>
      <c r="AB445" s="98">
        <f t="shared" ref="AB445:AB455" si="444">IF(VLOOKUP($D445,$C$5:$AJ$646,26,)=0,0,((VLOOKUP($D445,$C$5:$AJ$646,26,)/VLOOKUP($D445,$C$5:$AJ$646,4,))*$F445))</f>
        <v>21055.52436181486</v>
      </c>
      <c r="AC445" s="98">
        <f t="shared" ref="AC445:AC455" si="445">IF(VLOOKUP($D445,$C$5:$AJ$646,27,)=0,0,((VLOOKUP($D445,$C$5:$AJ$646,27,)/VLOOKUP($D445,$C$5:$AJ$646,4,))*$F445))</f>
        <v>570149.18494660442</v>
      </c>
      <c r="AD445" s="98">
        <f t="shared" ref="AD445:AD455" si="446">IF(VLOOKUP($D445,$C$5:$AJ$646,28,)=0,0,((VLOOKUP($D445,$C$5:$AJ$646,28,)/VLOOKUP($D445,$C$5:$AJ$646,4,))*$F445))</f>
        <v>25037.937359563603</v>
      </c>
      <c r="AE445" s="98"/>
      <c r="AF445" s="98">
        <f t="shared" ref="AF445:AF455" si="447">IF(VLOOKUP($D445,$C$5:$AJ$646,30,)=0,0,((VLOOKUP($D445,$C$5:$AJ$646,30,)/VLOOKUP($D445,$C$5:$AJ$646,4,))*$F445))</f>
        <v>0</v>
      </c>
      <c r="AG445" s="98"/>
      <c r="AH445" s="98">
        <f t="shared" ref="AH445:AH455" si="448">IF(VLOOKUP($D445,$C$5:$AJ$646,32,)=0,0,((VLOOKUP($D445,$C$5:$AJ$646,32,)/VLOOKUP($D445,$C$5:$AJ$646,4,))*$F445))</f>
        <v>0</v>
      </c>
      <c r="AI445" s="98"/>
      <c r="AJ445" s="98">
        <f t="shared" ref="AJ445:AJ455" si="449">IF(VLOOKUP($D445,$C$5:$AJ$646,34,)=0,0,((VLOOKUP($D445,$C$5:$AJ$646,34,)/VLOOKUP($D445,$C$5:$AJ$646,4,))*$F445))</f>
        <v>0</v>
      </c>
      <c r="AK445" s="98">
        <f t="shared" ref="AK445:AK455" si="450">SUM(H445:AJ445)</f>
        <v>1295319.5735034926</v>
      </c>
      <c r="AL445" s="95" t="str">
        <f t="shared" ref="AL445:AL455" si="451">IF(ABS(AK445-F445)&lt;1,"ok","err")</f>
        <v>ok</v>
      </c>
    </row>
    <row r="446" spans="1:38" x14ac:dyDescent="0.25">
      <c r="A446" s="94">
        <v>581</v>
      </c>
      <c r="B446" s="94" t="s">
        <v>960</v>
      </c>
      <c r="C446" s="94" t="s">
        <v>1263</v>
      </c>
      <c r="D446" s="94" t="s">
        <v>133</v>
      </c>
      <c r="F446" s="98">
        <f>'Jurisdictional Study'!F1371</f>
        <v>717345.90152483201</v>
      </c>
      <c r="H446" s="98">
        <f t="shared" si="426"/>
        <v>0</v>
      </c>
      <c r="I446" s="98">
        <f t="shared" si="427"/>
        <v>0</v>
      </c>
      <c r="J446" s="98">
        <f t="shared" si="428"/>
        <v>0</v>
      </c>
      <c r="K446" s="98">
        <f t="shared" si="429"/>
        <v>0</v>
      </c>
      <c r="L446" s="98">
        <f t="shared" si="430"/>
        <v>0</v>
      </c>
      <c r="M446" s="98">
        <f t="shared" si="431"/>
        <v>0</v>
      </c>
      <c r="N446" s="98"/>
      <c r="O446" s="98">
        <f t="shared" si="432"/>
        <v>0</v>
      </c>
      <c r="P446" s="98">
        <f t="shared" si="433"/>
        <v>0</v>
      </c>
      <c r="Q446" s="98">
        <f t="shared" si="434"/>
        <v>0</v>
      </c>
      <c r="R446" s="98"/>
      <c r="S446" s="98">
        <f t="shared" si="435"/>
        <v>0</v>
      </c>
      <c r="T446" s="98">
        <f t="shared" si="436"/>
        <v>717345.90152483201</v>
      </c>
      <c r="U446" s="98">
        <f t="shared" si="437"/>
        <v>0</v>
      </c>
      <c r="V446" s="98">
        <f t="shared" si="438"/>
        <v>0</v>
      </c>
      <c r="W446" s="98">
        <f t="shared" si="439"/>
        <v>0</v>
      </c>
      <c r="X446" s="98">
        <f t="shared" si="440"/>
        <v>0</v>
      </c>
      <c r="Y446" s="98">
        <f t="shared" si="441"/>
        <v>0</v>
      </c>
      <c r="Z446" s="98">
        <f t="shared" si="442"/>
        <v>0</v>
      </c>
      <c r="AA446" s="98">
        <f t="shared" si="443"/>
        <v>0</v>
      </c>
      <c r="AB446" s="98">
        <f t="shared" si="444"/>
        <v>0</v>
      </c>
      <c r="AC446" s="98">
        <f t="shared" si="445"/>
        <v>0</v>
      </c>
      <c r="AD446" s="98">
        <f t="shared" si="446"/>
        <v>0</v>
      </c>
      <c r="AE446" s="98"/>
      <c r="AF446" s="98">
        <f t="shared" si="447"/>
        <v>0</v>
      </c>
      <c r="AG446" s="98"/>
      <c r="AH446" s="98">
        <f t="shared" si="448"/>
        <v>0</v>
      </c>
      <c r="AI446" s="98"/>
      <c r="AJ446" s="98">
        <f t="shared" si="449"/>
        <v>0</v>
      </c>
      <c r="AK446" s="98">
        <f t="shared" si="450"/>
        <v>717345.90152483201</v>
      </c>
      <c r="AL446" s="95" t="str">
        <f t="shared" si="451"/>
        <v>ok</v>
      </c>
    </row>
    <row r="447" spans="1:38" x14ac:dyDescent="0.25">
      <c r="A447" s="94">
        <v>582</v>
      </c>
      <c r="B447" s="94" t="s">
        <v>567</v>
      </c>
      <c r="C447" s="94" t="s">
        <v>1264</v>
      </c>
      <c r="D447" s="94" t="s">
        <v>133</v>
      </c>
      <c r="F447" s="98">
        <f>'Jurisdictional Study'!F1372</f>
        <v>756223.34242479422</v>
      </c>
      <c r="H447" s="98">
        <f t="shared" si="426"/>
        <v>0</v>
      </c>
      <c r="I447" s="98">
        <f t="shared" si="427"/>
        <v>0</v>
      </c>
      <c r="J447" s="98">
        <f t="shared" si="428"/>
        <v>0</v>
      </c>
      <c r="K447" s="98">
        <f t="shared" si="429"/>
        <v>0</v>
      </c>
      <c r="L447" s="98">
        <f t="shared" si="430"/>
        <v>0</v>
      </c>
      <c r="M447" s="98">
        <f t="shared" si="431"/>
        <v>0</v>
      </c>
      <c r="N447" s="98"/>
      <c r="O447" s="98">
        <f t="shared" si="432"/>
        <v>0</v>
      </c>
      <c r="P447" s="98">
        <f t="shared" si="433"/>
        <v>0</v>
      </c>
      <c r="Q447" s="98">
        <f t="shared" si="434"/>
        <v>0</v>
      </c>
      <c r="R447" s="98"/>
      <c r="S447" s="98">
        <f t="shared" si="435"/>
        <v>0</v>
      </c>
      <c r="T447" s="98">
        <f t="shared" si="436"/>
        <v>756223.34242479422</v>
      </c>
      <c r="U447" s="98">
        <f t="shared" si="437"/>
        <v>0</v>
      </c>
      <c r="V447" s="98">
        <f t="shared" si="438"/>
        <v>0</v>
      </c>
      <c r="W447" s="98">
        <f t="shared" si="439"/>
        <v>0</v>
      </c>
      <c r="X447" s="98">
        <f t="shared" si="440"/>
        <v>0</v>
      </c>
      <c r="Y447" s="98">
        <f t="shared" si="441"/>
        <v>0</v>
      </c>
      <c r="Z447" s="98">
        <f t="shared" si="442"/>
        <v>0</v>
      </c>
      <c r="AA447" s="98">
        <f t="shared" si="443"/>
        <v>0</v>
      </c>
      <c r="AB447" s="98">
        <f t="shared" si="444"/>
        <v>0</v>
      </c>
      <c r="AC447" s="98">
        <f t="shared" si="445"/>
        <v>0</v>
      </c>
      <c r="AD447" s="98">
        <f t="shared" si="446"/>
        <v>0</v>
      </c>
      <c r="AE447" s="98"/>
      <c r="AF447" s="98">
        <f t="shared" si="447"/>
        <v>0</v>
      </c>
      <c r="AG447" s="98"/>
      <c r="AH447" s="98">
        <f t="shared" si="448"/>
        <v>0</v>
      </c>
      <c r="AI447" s="98"/>
      <c r="AJ447" s="98">
        <f t="shared" si="449"/>
        <v>0</v>
      </c>
      <c r="AK447" s="98">
        <f t="shared" si="450"/>
        <v>756223.34242479422</v>
      </c>
      <c r="AL447" s="95" t="str">
        <f t="shared" si="451"/>
        <v>ok</v>
      </c>
    </row>
    <row r="448" spans="1:38" x14ac:dyDescent="0.25">
      <c r="A448" s="94">
        <v>583</v>
      </c>
      <c r="B448" s="94" t="s">
        <v>962</v>
      </c>
      <c r="C448" s="94" t="s">
        <v>1265</v>
      </c>
      <c r="D448" s="94" t="s">
        <v>136</v>
      </c>
      <c r="F448" s="98">
        <f>'Jurisdictional Study'!F1373</f>
        <v>1589814.3706049111</v>
      </c>
      <c r="H448" s="98">
        <f t="shared" si="426"/>
        <v>0</v>
      </c>
      <c r="I448" s="98">
        <f t="shared" si="427"/>
        <v>0</v>
      </c>
      <c r="J448" s="98">
        <f t="shared" si="428"/>
        <v>0</v>
      </c>
      <c r="K448" s="98">
        <f t="shared" si="429"/>
        <v>0</v>
      </c>
      <c r="L448" s="98">
        <f t="shared" si="430"/>
        <v>0</v>
      </c>
      <c r="M448" s="98">
        <f t="shared" si="431"/>
        <v>0</v>
      </c>
      <c r="N448" s="98"/>
      <c r="O448" s="98">
        <f t="shared" si="432"/>
        <v>0</v>
      </c>
      <c r="P448" s="98">
        <f t="shared" si="433"/>
        <v>0</v>
      </c>
      <c r="Q448" s="98">
        <f t="shared" si="434"/>
        <v>0</v>
      </c>
      <c r="R448" s="98"/>
      <c r="S448" s="98">
        <f t="shared" si="435"/>
        <v>0</v>
      </c>
      <c r="T448" s="98">
        <f t="shared" si="436"/>
        <v>0</v>
      </c>
      <c r="U448" s="98">
        <f t="shared" si="437"/>
        <v>0</v>
      </c>
      <c r="V448" s="98">
        <f t="shared" si="438"/>
        <v>613914.76828093943</v>
      </c>
      <c r="W448" s="98">
        <f t="shared" si="439"/>
        <v>737427.44673323492</v>
      </c>
      <c r="X448" s="98">
        <f t="shared" si="440"/>
        <v>108337.90028487166</v>
      </c>
      <c r="Y448" s="98">
        <f t="shared" si="441"/>
        <v>130134.25530586499</v>
      </c>
      <c r="Z448" s="98">
        <f t="shared" si="442"/>
        <v>0</v>
      </c>
      <c r="AA448" s="98">
        <f t="shared" si="443"/>
        <v>0</v>
      </c>
      <c r="AB448" s="98">
        <f t="shared" si="444"/>
        <v>0</v>
      </c>
      <c r="AC448" s="98">
        <f t="shared" si="445"/>
        <v>0</v>
      </c>
      <c r="AD448" s="98">
        <f t="shared" si="446"/>
        <v>0</v>
      </c>
      <c r="AE448" s="98"/>
      <c r="AF448" s="98">
        <f t="shared" si="447"/>
        <v>0</v>
      </c>
      <c r="AG448" s="98"/>
      <c r="AH448" s="98">
        <f t="shared" si="448"/>
        <v>0</v>
      </c>
      <c r="AI448" s="98"/>
      <c r="AJ448" s="98">
        <f t="shared" si="449"/>
        <v>0</v>
      </c>
      <c r="AK448" s="98">
        <f t="shared" si="450"/>
        <v>1589814.3706049111</v>
      </c>
      <c r="AL448" s="95" t="str">
        <f t="shared" si="451"/>
        <v>ok</v>
      </c>
    </row>
    <row r="449" spans="1:38" x14ac:dyDescent="0.25">
      <c r="A449" s="94">
        <v>584</v>
      </c>
      <c r="B449" s="94" t="s">
        <v>964</v>
      </c>
      <c r="C449" s="94" t="s">
        <v>1266</v>
      </c>
      <c r="D449" s="94" t="s">
        <v>139</v>
      </c>
      <c r="F449" s="98">
        <f>'Jurisdictional Study'!F1374</f>
        <v>95744.096213663797</v>
      </c>
      <c r="H449" s="98">
        <f t="shared" si="426"/>
        <v>0</v>
      </c>
      <c r="I449" s="98">
        <f t="shared" si="427"/>
        <v>0</v>
      </c>
      <c r="J449" s="98">
        <f t="shared" si="428"/>
        <v>0</v>
      </c>
      <c r="K449" s="98">
        <f t="shared" si="429"/>
        <v>0</v>
      </c>
      <c r="L449" s="98">
        <f t="shared" si="430"/>
        <v>0</v>
      </c>
      <c r="M449" s="98">
        <f t="shared" si="431"/>
        <v>0</v>
      </c>
      <c r="N449" s="98"/>
      <c r="O449" s="98">
        <f t="shared" si="432"/>
        <v>0</v>
      </c>
      <c r="P449" s="98">
        <f t="shared" si="433"/>
        <v>0</v>
      </c>
      <c r="Q449" s="98">
        <f t="shared" si="434"/>
        <v>0</v>
      </c>
      <c r="R449" s="98"/>
      <c r="S449" s="98">
        <f t="shared" si="435"/>
        <v>0</v>
      </c>
      <c r="T449" s="98">
        <f t="shared" si="436"/>
        <v>0</v>
      </c>
      <c r="U449" s="98">
        <f t="shared" si="437"/>
        <v>0</v>
      </c>
      <c r="V449" s="98">
        <f t="shared" si="438"/>
        <v>20174.71723366217</v>
      </c>
      <c r="W449" s="98">
        <f t="shared" si="439"/>
        <v>61207.764547952058</v>
      </c>
      <c r="X449" s="98">
        <f t="shared" si="440"/>
        <v>3560.2442177050884</v>
      </c>
      <c r="Y449" s="98">
        <f t="shared" si="441"/>
        <v>10801.370214344481</v>
      </c>
      <c r="Z449" s="98">
        <f t="shared" si="442"/>
        <v>0</v>
      </c>
      <c r="AA449" s="98">
        <f t="shared" si="443"/>
        <v>0</v>
      </c>
      <c r="AB449" s="98">
        <f t="shared" si="444"/>
        <v>0</v>
      </c>
      <c r="AC449" s="98">
        <f t="shared" si="445"/>
        <v>0</v>
      </c>
      <c r="AD449" s="98">
        <f t="shared" si="446"/>
        <v>0</v>
      </c>
      <c r="AE449" s="98"/>
      <c r="AF449" s="98">
        <f t="shared" si="447"/>
        <v>0</v>
      </c>
      <c r="AG449" s="98"/>
      <c r="AH449" s="98">
        <f t="shared" si="448"/>
        <v>0</v>
      </c>
      <c r="AI449" s="98"/>
      <c r="AJ449" s="98">
        <f t="shared" si="449"/>
        <v>0</v>
      </c>
      <c r="AK449" s="98">
        <f t="shared" si="450"/>
        <v>95744.096213663797</v>
      </c>
      <c r="AL449" s="95" t="str">
        <f t="shared" si="451"/>
        <v>ok</v>
      </c>
    </row>
    <row r="450" spans="1:38" x14ac:dyDescent="0.25">
      <c r="A450" s="94">
        <v>585</v>
      </c>
      <c r="B450" s="94" t="s">
        <v>966</v>
      </c>
      <c r="C450" s="94" t="s">
        <v>1267</v>
      </c>
      <c r="D450" s="94" t="s">
        <v>197</v>
      </c>
      <c r="F450" s="98">
        <f>'Jurisdictional Study'!F1375</f>
        <v>2506.6695965162653</v>
      </c>
      <c r="H450" s="98">
        <f t="shared" si="426"/>
        <v>0</v>
      </c>
      <c r="I450" s="98">
        <f t="shared" si="427"/>
        <v>0</v>
      </c>
      <c r="J450" s="98">
        <f t="shared" si="428"/>
        <v>0</v>
      </c>
      <c r="K450" s="98">
        <f t="shared" si="429"/>
        <v>0</v>
      </c>
      <c r="L450" s="98">
        <f t="shared" si="430"/>
        <v>0</v>
      </c>
      <c r="M450" s="98">
        <f t="shared" si="431"/>
        <v>0</v>
      </c>
      <c r="N450" s="98"/>
      <c r="O450" s="98">
        <f t="shared" si="432"/>
        <v>0</v>
      </c>
      <c r="P450" s="98">
        <f t="shared" si="433"/>
        <v>0</v>
      </c>
      <c r="Q450" s="98">
        <f t="shared" si="434"/>
        <v>0</v>
      </c>
      <c r="R450" s="98"/>
      <c r="S450" s="98">
        <f t="shared" si="435"/>
        <v>0</v>
      </c>
      <c r="T450" s="98">
        <f t="shared" si="436"/>
        <v>0</v>
      </c>
      <c r="U450" s="98">
        <f t="shared" si="437"/>
        <v>0</v>
      </c>
      <c r="V450" s="98">
        <f t="shared" si="438"/>
        <v>0</v>
      </c>
      <c r="W450" s="98">
        <f t="shared" si="439"/>
        <v>0</v>
      </c>
      <c r="X450" s="98">
        <f t="shared" si="440"/>
        <v>0</v>
      </c>
      <c r="Y450" s="98">
        <f t="shared" si="441"/>
        <v>0</v>
      </c>
      <c r="Z450" s="98">
        <f t="shared" si="442"/>
        <v>0</v>
      </c>
      <c r="AA450" s="98">
        <f t="shared" si="443"/>
        <v>0</v>
      </c>
      <c r="AB450" s="98">
        <f t="shared" si="444"/>
        <v>0</v>
      </c>
      <c r="AC450" s="98">
        <f t="shared" si="445"/>
        <v>0</v>
      </c>
      <c r="AD450" s="98">
        <f t="shared" si="446"/>
        <v>2506.6695965162653</v>
      </c>
      <c r="AE450" s="98"/>
      <c r="AF450" s="98">
        <f t="shared" si="447"/>
        <v>0</v>
      </c>
      <c r="AG450" s="98"/>
      <c r="AH450" s="98">
        <f t="shared" si="448"/>
        <v>0</v>
      </c>
      <c r="AI450" s="98"/>
      <c r="AJ450" s="98">
        <f t="shared" si="449"/>
        <v>0</v>
      </c>
      <c r="AK450" s="98">
        <f t="shared" si="450"/>
        <v>2506.6695965162653</v>
      </c>
      <c r="AL450" s="95" t="str">
        <f t="shared" si="451"/>
        <v>ok</v>
      </c>
    </row>
    <row r="451" spans="1:38" x14ac:dyDescent="0.25">
      <c r="A451" s="94">
        <v>586</v>
      </c>
      <c r="B451" s="94" t="s">
        <v>449</v>
      </c>
      <c r="C451" s="94" t="s">
        <v>1268</v>
      </c>
      <c r="D451" s="94" t="s">
        <v>195</v>
      </c>
      <c r="F451" s="98">
        <f>'Jurisdictional Study'!F1376</f>
        <v>4312676.0085812639</v>
      </c>
      <c r="H451" s="98">
        <f t="shared" si="426"/>
        <v>0</v>
      </c>
      <c r="I451" s="98">
        <f t="shared" si="427"/>
        <v>0</v>
      </c>
      <c r="J451" s="98">
        <f t="shared" si="428"/>
        <v>0</v>
      </c>
      <c r="K451" s="98">
        <f t="shared" si="429"/>
        <v>0</v>
      </c>
      <c r="L451" s="98">
        <f t="shared" si="430"/>
        <v>0</v>
      </c>
      <c r="M451" s="98">
        <f t="shared" si="431"/>
        <v>0</v>
      </c>
      <c r="N451" s="98"/>
      <c r="O451" s="98">
        <f t="shared" si="432"/>
        <v>0</v>
      </c>
      <c r="P451" s="98">
        <f t="shared" si="433"/>
        <v>0</v>
      </c>
      <c r="Q451" s="98">
        <f t="shared" si="434"/>
        <v>0</v>
      </c>
      <c r="R451" s="98"/>
      <c r="S451" s="98">
        <f t="shared" si="435"/>
        <v>0</v>
      </c>
      <c r="T451" s="98">
        <f t="shared" si="436"/>
        <v>0</v>
      </c>
      <c r="U451" s="98">
        <f t="shared" si="437"/>
        <v>0</v>
      </c>
      <c r="V451" s="98">
        <f t="shared" si="438"/>
        <v>0</v>
      </c>
      <c r="W451" s="98">
        <f t="shared" si="439"/>
        <v>0</v>
      </c>
      <c r="X451" s="98">
        <f t="shared" si="440"/>
        <v>0</v>
      </c>
      <c r="Y451" s="98">
        <f t="shared" si="441"/>
        <v>0</v>
      </c>
      <c r="Z451" s="98">
        <f t="shared" si="442"/>
        <v>0</v>
      </c>
      <c r="AA451" s="98">
        <f t="shared" si="443"/>
        <v>0</v>
      </c>
      <c r="AB451" s="98">
        <f t="shared" si="444"/>
        <v>0</v>
      </c>
      <c r="AC451" s="98">
        <f t="shared" si="445"/>
        <v>4312676.0085812639</v>
      </c>
      <c r="AD451" s="98">
        <f t="shared" si="446"/>
        <v>0</v>
      </c>
      <c r="AE451" s="98"/>
      <c r="AF451" s="98">
        <f t="shared" si="447"/>
        <v>0</v>
      </c>
      <c r="AG451" s="98"/>
      <c r="AH451" s="98">
        <f t="shared" si="448"/>
        <v>0</v>
      </c>
      <c r="AI451" s="98"/>
      <c r="AJ451" s="98">
        <f t="shared" si="449"/>
        <v>0</v>
      </c>
      <c r="AK451" s="98">
        <f t="shared" si="450"/>
        <v>4312676.0085812639</v>
      </c>
      <c r="AL451" s="95" t="str">
        <f t="shared" si="451"/>
        <v>ok</v>
      </c>
    </row>
    <row r="452" spans="1:38" x14ac:dyDescent="0.25">
      <c r="A452" s="94">
        <v>586</v>
      </c>
      <c r="B452" s="94" t="s">
        <v>1712</v>
      </c>
      <c r="C452" s="94" t="s">
        <v>1269</v>
      </c>
      <c r="D452" s="94" t="s">
        <v>1251</v>
      </c>
      <c r="F452" s="98">
        <v>0</v>
      </c>
      <c r="H452" s="98">
        <f t="shared" si="426"/>
        <v>0</v>
      </c>
      <c r="I452" s="98">
        <f t="shared" si="427"/>
        <v>0</v>
      </c>
      <c r="J452" s="98">
        <f t="shared" si="428"/>
        <v>0</v>
      </c>
      <c r="K452" s="98">
        <f t="shared" si="429"/>
        <v>0</v>
      </c>
      <c r="L452" s="98">
        <f t="shared" si="430"/>
        <v>0</v>
      </c>
      <c r="M452" s="98">
        <f t="shared" si="431"/>
        <v>0</v>
      </c>
      <c r="N452" s="98"/>
      <c r="O452" s="98">
        <f t="shared" si="432"/>
        <v>0</v>
      </c>
      <c r="P452" s="98">
        <f t="shared" si="433"/>
        <v>0</v>
      </c>
      <c r="Q452" s="98">
        <f t="shared" si="434"/>
        <v>0</v>
      </c>
      <c r="R452" s="98"/>
      <c r="S452" s="98">
        <f t="shared" si="435"/>
        <v>0</v>
      </c>
      <c r="T452" s="98">
        <f t="shared" si="436"/>
        <v>0</v>
      </c>
      <c r="U452" s="98">
        <f t="shared" si="437"/>
        <v>0</v>
      </c>
      <c r="V452" s="98">
        <f t="shared" si="438"/>
        <v>0</v>
      </c>
      <c r="W452" s="98">
        <f t="shared" si="439"/>
        <v>0</v>
      </c>
      <c r="X452" s="98">
        <f t="shared" si="440"/>
        <v>0</v>
      </c>
      <c r="Y452" s="98">
        <f t="shared" si="441"/>
        <v>0</v>
      </c>
      <c r="Z452" s="98">
        <f t="shared" si="442"/>
        <v>0</v>
      </c>
      <c r="AA452" s="98">
        <f t="shared" si="443"/>
        <v>0</v>
      </c>
      <c r="AB452" s="98">
        <f t="shared" si="444"/>
        <v>0</v>
      </c>
      <c r="AC452" s="98">
        <f t="shared" si="445"/>
        <v>0</v>
      </c>
      <c r="AD452" s="98">
        <f t="shared" si="446"/>
        <v>0</v>
      </c>
      <c r="AE452" s="98"/>
      <c r="AF452" s="98">
        <f t="shared" si="447"/>
        <v>0</v>
      </c>
      <c r="AG452" s="98"/>
      <c r="AH452" s="98">
        <f t="shared" si="448"/>
        <v>0</v>
      </c>
      <c r="AI452" s="98"/>
      <c r="AJ452" s="98">
        <f t="shared" si="449"/>
        <v>0</v>
      </c>
      <c r="AK452" s="98">
        <f t="shared" si="450"/>
        <v>0</v>
      </c>
      <c r="AL452" s="95" t="str">
        <f t="shared" si="451"/>
        <v>ok</v>
      </c>
    </row>
    <row r="453" spans="1:38" x14ac:dyDescent="0.25">
      <c r="A453" s="94">
        <v>587</v>
      </c>
      <c r="B453" s="94" t="s">
        <v>451</v>
      </c>
      <c r="C453" s="94" t="s">
        <v>1270</v>
      </c>
      <c r="D453" s="94" t="s">
        <v>197</v>
      </c>
      <c r="F453" s="98">
        <f>'Jurisdictional Study'!F1377</f>
        <v>1630.7883754400168</v>
      </c>
      <c r="H453" s="98">
        <f t="shared" si="426"/>
        <v>0</v>
      </c>
      <c r="I453" s="98">
        <f t="shared" si="427"/>
        <v>0</v>
      </c>
      <c r="J453" s="98">
        <f t="shared" si="428"/>
        <v>0</v>
      </c>
      <c r="K453" s="98">
        <f t="shared" si="429"/>
        <v>0</v>
      </c>
      <c r="L453" s="98">
        <f t="shared" si="430"/>
        <v>0</v>
      </c>
      <c r="M453" s="98">
        <f t="shared" si="431"/>
        <v>0</v>
      </c>
      <c r="N453" s="98"/>
      <c r="O453" s="98">
        <f t="shared" si="432"/>
        <v>0</v>
      </c>
      <c r="P453" s="98">
        <f t="shared" si="433"/>
        <v>0</v>
      </c>
      <c r="Q453" s="98">
        <f t="shared" si="434"/>
        <v>0</v>
      </c>
      <c r="R453" s="98"/>
      <c r="S453" s="98">
        <f t="shared" si="435"/>
        <v>0</v>
      </c>
      <c r="T453" s="98">
        <f t="shared" si="436"/>
        <v>0</v>
      </c>
      <c r="U453" s="98">
        <f t="shared" si="437"/>
        <v>0</v>
      </c>
      <c r="V453" s="98">
        <f t="shared" si="438"/>
        <v>0</v>
      </c>
      <c r="W453" s="98">
        <f t="shared" si="439"/>
        <v>0</v>
      </c>
      <c r="X453" s="98">
        <f t="shared" si="440"/>
        <v>0</v>
      </c>
      <c r="Y453" s="98">
        <f t="shared" si="441"/>
        <v>0</v>
      </c>
      <c r="Z453" s="98">
        <f t="shared" si="442"/>
        <v>0</v>
      </c>
      <c r="AA453" s="98">
        <f t="shared" si="443"/>
        <v>0</v>
      </c>
      <c r="AB453" s="98">
        <f t="shared" si="444"/>
        <v>0</v>
      </c>
      <c r="AC453" s="98">
        <f t="shared" si="445"/>
        <v>0</v>
      </c>
      <c r="AD453" s="98">
        <f t="shared" si="446"/>
        <v>1630.7883754400168</v>
      </c>
      <c r="AE453" s="98"/>
      <c r="AF453" s="98">
        <f t="shared" si="447"/>
        <v>0</v>
      </c>
      <c r="AG453" s="98"/>
      <c r="AH453" s="98">
        <f t="shared" si="448"/>
        <v>0</v>
      </c>
      <c r="AI453" s="98"/>
      <c r="AJ453" s="98">
        <f t="shared" si="449"/>
        <v>0</v>
      </c>
      <c r="AK453" s="98">
        <f t="shared" si="450"/>
        <v>1630.7883754400168</v>
      </c>
      <c r="AL453" s="95" t="str">
        <f t="shared" si="451"/>
        <v>ok</v>
      </c>
    </row>
    <row r="454" spans="1:38" x14ac:dyDescent="0.25">
      <c r="A454" s="94">
        <v>588</v>
      </c>
      <c r="B454" s="94" t="s">
        <v>453</v>
      </c>
      <c r="C454" s="94" t="s">
        <v>1271</v>
      </c>
      <c r="D454" s="94" t="s">
        <v>129</v>
      </c>
      <c r="F454" s="98">
        <f>'Jurisdictional Study'!F1378</f>
        <v>2617399.2729198528</v>
      </c>
      <c r="H454" s="98">
        <f t="shared" si="426"/>
        <v>0</v>
      </c>
      <c r="I454" s="98">
        <f t="shared" si="427"/>
        <v>0</v>
      </c>
      <c r="J454" s="98">
        <f t="shared" si="428"/>
        <v>0</v>
      </c>
      <c r="K454" s="98">
        <f t="shared" si="429"/>
        <v>0</v>
      </c>
      <c r="L454" s="98">
        <f t="shared" si="430"/>
        <v>0</v>
      </c>
      <c r="M454" s="98">
        <f t="shared" si="431"/>
        <v>0</v>
      </c>
      <c r="N454" s="98"/>
      <c r="O454" s="98">
        <f t="shared" si="432"/>
        <v>0</v>
      </c>
      <c r="P454" s="98">
        <f t="shared" si="433"/>
        <v>0</v>
      </c>
      <c r="Q454" s="98">
        <f t="shared" si="434"/>
        <v>0</v>
      </c>
      <c r="R454" s="98"/>
      <c r="S454" s="98">
        <f t="shared" si="435"/>
        <v>0</v>
      </c>
      <c r="T454" s="98">
        <f t="shared" si="436"/>
        <v>284332.05129996577</v>
      </c>
      <c r="U454" s="98">
        <f t="shared" si="437"/>
        <v>0</v>
      </c>
      <c r="V454" s="98">
        <f t="shared" si="438"/>
        <v>460514.37708636036</v>
      </c>
      <c r="W454" s="98">
        <f t="shared" si="439"/>
        <v>659134.5325188291</v>
      </c>
      <c r="X454" s="98">
        <f t="shared" si="440"/>
        <v>81267.243015240063</v>
      </c>
      <c r="Y454" s="98">
        <f t="shared" si="441"/>
        <v>116317.8586797934</v>
      </c>
      <c r="Z454" s="98">
        <f t="shared" si="442"/>
        <v>286039.44844598655</v>
      </c>
      <c r="AA454" s="98">
        <f t="shared" si="443"/>
        <v>244744.46034226089</v>
      </c>
      <c r="AB454" s="98">
        <f t="shared" si="444"/>
        <v>164068.06481533762</v>
      </c>
      <c r="AC454" s="98">
        <f t="shared" si="445"/>
        <v>130019.02113152346</v>
      </c>
      <c r="AD454" s="98">
        <f t="shared" si="446"/>
        <v>190962.21558455471</v>
      </c>
      <c r="AE454" s="98"/>
      <c r="AF454" s="98">
        <f t="shared" si="447"/>
        <v>0</v>
      </c>
      <c r="AG454" s="98"/>
      <c r="AH454" s="98">
        <f t="shared" si="448"/>
        <v>0</v>
      </c>
      <c r="AI454" s="98"/>
      <c r="AJ454" s="98">
        <f t="shared" si="449"/>
        <v>0</v>
      </c>
      <c r="AK454" s="98">
        <f t="shared" si="450"/>
        <v>2617399.2729198518</v>
      </c>
      <c r="AL454" s="95" t="str">
        <f t="shared" si="451"/>
        <v>ok</v>
      </c>
    </row>
    <row r="455" spans="1:38" x14ac:dyDescent="0.25">
      <c r="A455" s="94">
        <v>589</v>
      </c>
      <c r="B455" s="94" t="s">
        <v>455</v>
      </c>
      <c r="C455" s="94" t="s">
        <v>1272</v>
      </c>
      <c r="D455" s="94" t="s">
        <v>129</v>
      </c>
      <c r="F455" s="98">
        <f>'Jurisdictional Study'!F1379</f>
        <v>0</v>
      </c>
      <c r="H455" s="98">
        <f t="shared" si="426"/>
        <v>0</v>
      </c>
      <c r="I455" s="98">
        <f t="shared" si="427"/>
        <v>0</v>
      </c>
      <c r="J455" s="98">
        <f t="shared" si="428"/>
        <v>0</v>
      </c>
      <c r="K455" s="98">
        <f t="shared" si="429"/>
        <v>0</v>
      </c>
      <c r="L455" s="98">
        <f t="shared" si="430"/>
        <v>0</v>
      </c>
      <c r="M455" s="98">
        <f t="shared" si="431"/>
        <v>0</v>
      </c>
      <c r="N455" s="98"/>
      <c r="O455" s="98">
        <f t="shared" si="432"/>
        <v>0</v>
      </c>
      <c r="P455" s="98">
        <f t="shared" si="433"/>
        <v>0</v>
      </c>
      <c r="Q455" s="98">
        <f t="shared" si="434"/>
        <v>0</v>
      </c>
      <c r="R455" s="98"/>
      <c r="S455" s="98">
        <f t="shared" si="435"/>
        <v>0</v>
      </c>
      <c r="T455" s="98">
        <f t="shared" si="436"/>
        <v>0</v>
      </c>
      <c r="U455" s="98">
        <f t="shared" si="437"/>
        <v>0</v>
      </c>
      <c r="V455" s="98">
        <f t="shared" si="438"/>
        <v>0</v>
      </c>
      <c r="W455" s="98">
        <f t="shared" si="439"/>
        <v>0</v>
      </c>
      <c r="X455" s="98">
        <f t="shared" si="440"/>
        <v>0</v>
      </c>
      <c r="Y455" s="98">
        <f t="shared" si="441"/>
        <v>0</v>
      </c>
      <c r="Z455" s="98">
        <f t="shared" si="442"/>
        <v>0</v>
      </c>
      <c r="AA455" s="98">
        <f t="shared" si="443"/>
        <v>0</v>
      </c>
      <c r="AB455" s="98">
        <f t="shared" si="444"/>
        <v>0</v>
      </c>
      <c r="AC455" s="98">
        <f t="shared" si="445"/>
        <v>0</v>
      </c>
      <c r="AD455" s="98">
        <f t="shared" si="446"/>
        <v>0</v>
      </c>
      <c r="AE455" s="98"/>
      <c r="AF455" s="98">
        <f t="shared" si="447"/>
        <v>0</v>
      </c>
      <c r="AG455" s="98"/>
      <c r="AH455" s="98">
        <f t="shared" si="448"/>
        <v>0</v>
      </c>
      <c r="AI455" s="98"/>
      <c r="AJ455" s="98">
        <f t="shared" si="449"/>
        <v>0</v>
      </c>
      <c r="AK455" s="98">
        <f t="shared" si="450"/>
        <v>0</v>
      </c>
      <c r="AL455" s="95" t="str">
        <f t="shared" si="451"/>
        <v>ok</v>
      </c>
    </row>
    <row r="456" spans="1:38" x14ac:dyDescent="0.25">
      <c r="F456" s="98"/>
      <c r="H456" s="98"/>
      <c r="I456" s="98"/>
      <c r="J456" s="98"/>
      <c r="K456" s="98"/>
      <c r="L456" s="98"/>
      <c r="M456" s="98"/>
      <c r="N456" s="98"/>
      <c r="O456" s="98"/>
      <c r="P456" s="98"/>
      <c r="Q456" s="98"/>
      <c r="R456" s="98"/>
      <c r="S456" s="98"/>
      <c r="T456" s="98"/>
      <c r="U456" s="98"/>
      <c r="V456" s="98"/>
      <c r="W456" s="98"/>
      <c r="X456" s="98"/>
      <c r="Y456" s="98"/>
      <c r="Z456" s="98"/>
      <c r="AA456" s="98"/>
      <c r="AB456" s="98"/>
      <c r="AC456" s="98"/>
      <c r="AD456" s="98"/>
      <c r="AE456" s="98"/>
      <c r="AF456" s="98"/>
      <c r="AG456" s="98"/>
      <c r="AH456" s="98"/>
      <c r="AI456" s="98"/>
      <c r="AJ456" s="98"/>
      <c r="AL456" s="95"/>
    </row>
    <row r="457" spans="1:38" x14ac:dyDescent="0.25">
      <c r="A457" s="94" t="s">
        <v>1317</v>
      </c>
      <c r="C457" s="94" t="s">
        <v>1273</v>
      </c>
      <c r="F457" s="97">
        <f>SUM(F445:F456)</f>
        <v>11388660.023744766</v>
      </c>
      <c r="G457" s="97">
        <f t="shared" ref="G457:M457" si="452">SUM(G445:G456)</f>
        <v>0</v>
      </c>
      <c r="H457" s="97">
        <f t="shared" si="452"/>
        <v>0</v>
      </c>
      <c r="I457" s="97">
        <f t="shared" si="452"/>
        <v>0</v>
      </c>
      <c r="J457" s="97">
        <f t="shared" si="452"/>
        <v>0</v>
      </c>
      <c r="K457" s="97">
        <f t="shared" si="452"/>
        <v>0</v>
      </c>
      <c r="L457" s="97">
        <f t="shared" si="452"/>
        <v>0</v>
      </c>
      <c r="M457" s="97">
        <f t="shared" si="452"/>
        <v>0</v>
      </c>
      <c r="N457" s="97"/>
      <c r="O457" s="97">
        <f>SUM(O445:O456)</f>
        <v>0</v>
      </c>
      <c r="P457" s="97">
        <f>SUM(P445:P456)</f>
        <v>0</v>
      </c>
      <c r="Q457" s="97">
        <f>SUM(Q445:Q456)</f>
        <v>0</v>
      </c>
      <c r="R457" s="97"/>
      <c r="S457" s="97">
        <f t="shared" ref="S457:AD457" si="453">SUM(S445:S456)</f>
        <v>0</v>
      </c>
      <c r="T457" s="97">
        <f t="shared" si="453"/>
        <v>1983499.9429172734</v>
      </c>
      <c r="U457" s="97">
        <f t="shared" si="453"/>
        <v>0</v>
      </c>
      <c r="V457" s="97">
        <f t="shared" si="453"/>
        <v>1235078.8436490512</v>
      </c>
      <c r="W457" s="97">
        <f t="shared" si="453"/>
        <v>1644851.2845559504</v>
      </c>
      <c r="X457" s="97">
        <f t="shared" si="453"/>
        <v>217955.09005571489</v>
      </c>
      <c r="Y457" s="97">
        <f t="shared" si="453"/>
        <v>290267.87374516774</v>
      </c>
      <c r="Z457" s="97">
        <f t="shared" si="453"/>
        <v>322748.05826577847</v>
      </c>
      <c r="AA457" s="97">
        <f t="shared" si="453"/>
        <v>276153.51580321108</v>
      </c>
      <c r="AB457" s="97">
        <f t="shared" si="453"/>
        <v>185123.58917715249</v>
      </c>
      <c r="AC457" s="97">
        <f t="shared" si="453"/>
        <v>5012844.2146593919</v>
      </c>
      <c r="AD457" s="97">
        <f t="shared" si="453"/>
        <v>220137.6109160746</v>
      </c>
      <c r="AE457" s="97"/>
      <c r="AF457" s="97">
        <f>SUM(AF445:AF456)</f>
        <v>0</v>
      </c>
      <c r="AG457" s="97"/>
      <c r="AH457" s="97">
        <f>SUM(AH445:AH456)</f>
        <v>0</v>
      </c>
      <c r="AI457" s="97"/>
      <c r="AJ457" s="97">
        <f>SUM(AJ445:AJ456)</f>
        <v>0</v>
      </c>
      <c r="AK457" s="98">
        <f>SUM(H457:AJ457)</f>
        <v>11388660.023744766</v>
      </c>
      <c r="AL457" s="95" t="str">
        <f>IF(ABS(AK457-F457)&lt;1,"ok","err")</f>
        <v>ok</v>
      </c>
    </row>
    <row r="458" spans="1:38" x14ac:dyDescent="0.25"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8"/>
      <c r="AL458" s="95"/>
    </row>
    <row r="459" spans="1:38" x14ac:dyDescent="0.25"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8"/>
      <c r="AL459" s="95"/>
    </row>
    <row r="460" spans="1:38" x14ac:dyDescent="0.25"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8"/>
      <c r="AL460" s="95"/>
    </row>
    <row r="461" spans="1:38" x14ac:dyDescent="0.25"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8"/>
      <c r="AL461" s="95"/>
    </row>
    <row r="462" spans="1:38" x14ac:dyDescent="0.25"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8"/>
      <c r="AL462" s="95"/>
    </row>
    <row r="463" spans="1:38" x14ac:dyDescent="0.25"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8"/>
      <c r="AL463" s="95"/>
    </row>
    <row r="464" spans="1:38" x14ac:dyDescent="0.25"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8"/>
      <c r="AL464" s="95"/>
    </row>
    <row r="465" spans="1:38" x14ac:dyDescent="0.25">
      <c r="A465" s="16"/>
      <c r="F465" s="98"/>
      <c r="H465" s="98"/>
      <c r="I465" s="98"/>
      <c r="J465" s="98"/>
      <c r="K465" s="98"/>
      <c r="L465" s="98"/>
      <c r="M465" s="98"/>
      <c r="N465" s="98"/>
      <c r="O465" s="98"/>
      <c r="P465" s="98"/>
      <c r="Q465" s="98"/>
      <c r="R465" s="98"/>
      <c r="S465" s="98"/>
      <c r="T465" s="98"/>
      <c r="U465" s="98"/>
      <c r="V465" s="98"/>
      <c r="W465" s="98"/>
      <c r="X465" s="98"/>
      <c r="Y465" s="98"/>
      <c r="Z465" s="98"/>
      <c r="AA465" s="98"/>
      <c r="AB465" s="98"/>
      <c r="AC465" s="98"/>
      <c r="AD465" s="98"/>
      <c r="AE465" s="98"/>
      <c r="AF465" s="98"/>
      <c r="AG465" s="98"/>
      <c r="AH465" s="98"/>
      <c r="AI465" s="98"/>
      <c r="AJ465" s="98"/>
      <c r="AL465" s="95"/>
    </row>
    <row r="466" spans="1:38" x14ac:dyDescent="0.25">
      <c r="A466" s="15" t="s">
        <v>1253</v>
      </c>
      <c r="F466" s="98"/>
      <c r="H466" s="98"/>
      <c r="I466" s="98"/>
      <c r="J466" s="98"/>
      <c r="K466" s="98"/>
      <c r="L466" s="98"/>
      <c r="M466" s="98"/>
      <c r="N466" s="98"/>
      <c r="O466" s="98"/>
      <c r="P466" s="98"/>
      <c r="Q466" s="98"/>
      <c r="R466" s="98"/>
      <c r="S466" s="98"/>
      <c r="T466" s="98"/>
      <c r="U466" s="98"/>
      <c r="V466" s="98"/>
      <c r="W466" s="98"/>
      <c r="X466" s="98"/>
      <c r="Y466" s="98"/>
      <c r="Z466" s="98"/>
      <c r="AA466" s="98"/>
      <c r="AB466" s="98"/>
      <c r="AC466" s="98"/>
      <c r="AD466" s="98"/>
      <c r="AE466" s="98"/>
      <c r="AF466" s="98"/>
      <c r="AG466" s="98"/>
      <c r="AH466" s="98"/>
      <c r="AI466" s="98"/>
      <c r="AJ466" s="98"/>
      <c r="AL466" s="95"/>
    </row>
    <row r="467" spans="1:38" x14ac:dyDescent="0.25">
      <c r="F467" s="98"/>
      <c r="H467" s="98"/>
      <c r="I467" s="98"/>
      <c r="J467" s="98"/>
      <c r="K467" s="98"/>
      <c r="L467" s="98"/>
      <c r="M467" s="98"/>
      <c r="N467" s="98"/>
      <c r="O467" s="98"/>
      <c r="P467" s="98"/>
      <c r="Q467" s="98"/>
      <c r="R467" s="98"/>
      <c r="S467" s="98"/>
      <c r="T467" s="98"/>
      <c r="U467" s="98"/>
      <c r="V467" s="98"/>
      <c r="W467" s="98"/>
      <c r="X467" s="98"/>
      <c r="Y467" s="98"/>
      <c r="Z467" s="98"/>
      <c r="AA467" s="98"/>
      <c r="AB467" s="98"/>
      <c r="AC467" s="98"/>
      <c r="AD467" s="98"/>
      <c r="AE467" s="98"/>
      <c r="AF467" s="98"/>
      <c r="AG467" s="98"/>
      <c r="AH467" s="98"/>
      <c r="AI467" s="98"/>
      <c r="AJ467" s="98"/>
      <c r="AL467" s="95"/>
    </row>
    <row r="468" spans="1:38" x14ac:dyDescent="0.25">
      <c r="A468" s="16" t="s">
        <v>1318</v>
      </c>
      <c r="F468" s="98"/>
      <c r="H468" s="98"/>
      <c r="I468" s="98"/>
      <c r="J468" s="98"/>
      <c r="K468" s="98"/>
      <c r="L468" s="98"/>
      <c r="M468" s="98"/>
      <c r="N468" s="98"/>
      <c r="O468" s="98"/>
      <c r="P468" s="98"/>
      <c r="Q468" s="98"/>
      <c r="R468" s="98"/>
      <c r="S468" s="98"/>
      <c r="T468" s="98"/>
      <c r="U468" s="98"/>
      <c r="V468" s="98"/>
      <c r="W468" s="98"/>
      <c r="X468" s="98"/>
      <c r="Y468" s="98"/>
      <c r="Z468" s="98"/>
      <c r="AA468" s="98"/>
      <c r="AB468" s="98"/>
      <c r="AC468" s="98"/>
      <c r="AD468" s="98"/>
      <c r="AE468" s="98"/>
      <c r="AF468" s="98"/>
      <c r="AG468" s="98"/>
      <c r="AH468" s="98"/>
      <c r="AI468" s="98"/>
      <c r="AJ468" s="98"/>
      <c r="AL468" s="95"/>
    </row>
    <row r="469" spans="1:38" x14ac:dyDescent="0.25">
      <c r="A469" s="94">
        <v>590</v>
      </c>
      <c r="B469" s="94" t="s">
        <v>460</v>
      </c>
      <c r="C469" s="94" t="s">
        <v>1274</v>
      </c>
      <c r="D469" s="94" t="s">
        <v>898</v>
      </c>
      <c r="F469" s="97">
        <f>'Jurisdictional Study'!F1380</f>
        <v>83850.204088772676</v>
      </c>
      <c r="H469" s="98">
        <f t="shared" ref="H469:H477" si="454">IF(VLOOKUP($D469,$C$5:$AJ$646,6,)=0,0,((VLOOKUP($D469,$C$5:$AJ$646,6,)/VLOOKUP($D469,$C$5:$AJ$646,4,))*$F469))</f>
        <v>0</v>
      </c>
      <c r="I469" s="98">
        <f t="shared" ref="I469:I477" si="455">IF(VLOOKUP($D469,$C$5:$AJ$646,7,)=0,0,((VLOOKUP($D469,$C$5:$AJ$646,7,)/VLOOKUP($D469,$C$5:$AJ$646,4,))*$F469))</f>
        <v>0</v>
      </c>
      <c r="J469" s="98">
        <f t="shared" ref="J469:J477" si="456">IF(VLOOKUP($D469,$C$5:$AJ$646,8,)=0,0,((VLOOKUP($D469,$C$5:$AJ$646,8,)/VLOOKUP($D469,$C$5:$AJ$646,4,))*$F469))</f>
        <v>0</v>
      </c>
      <c r="K469" s="98">
        <f t="shared" ref="K469:K477" si="457">IF(VLOOKUP($D469,$C$5:$AJ$646,9,)=0,0,((VLOOKUP($D469,$C$5:$AJ$646,9,)/VLOOKUP($D469,$C$5:$AJ$646,4,))*$F469))</f>
        <v>0</v>
      </c>
      <c r="L469" s="98">
        <f t="shared" ref="L469:L477" si="458">IF(VLOOKUP($D469,$C$5:$AJ$646,10,)=0,0,((VLOOKUP($D469,$C$5:$AJ$646,10,)/VLOOKUP($D469,$C$5:$AJ$646,4,))*$F469))</f>
        <v>0</v>
      </c>
      <c r="M469" s="98">
        <f t="shared" ref="M469:M477" si="459">IF(VLOOKUP($D469,$C$5:$AJ$646,11,)=0,0,((VLOOKUP($D469,$C$5:$AJ$646,11,)/VLOOKUP($D469,$C$5:$AJ$646,4,))*$F469))</f>
        <v>0</v>
      </c>
      <c r="N469" s="98"/>
      <c r="O469" s="98">
        <f t="shared" ref="O469:O477" si="460">IF(VLOOKUP($D469,$C$5:$AJ$646,13,)=0,0,((VLOOKUP($D469,$C$5:$AJ$646,13,)/VLOOKUP($D469,$C$5:$AJ$646,4,))*$F469))</f>
        <v>0</v>
      </c>
      <c r="P469" s="98">
        <f t="shared" ref="P469:P477" si="461">IF(VLOOKUP($D469,$C$5:$AJ$646,14,)=0,0,((VLOOKUP($D469,$C$5:$AJ$646,14,)/VLOOKUP($D469,$C$5:$AJ$646,4,))*$F469))</f>
        <v>0</v>
      </c>
      <c r="Q469" s="98">
        <f t="shared" ref="Q469:Q477" si="462">IF(VLOOKUP($D469,$C$5:$AJ$646,15,)=0,0,((VLOOKUP($D469,$C$5:$AJ$646,15,)/VLOOKUP($D469,$C$5:$AJ$646,4,))*$F469))</f>
        <v>0</v>
      </c>
      <c r="R469" s="98"/>
      <c r="S469" s="98">
        <f t="shared" ref="S469:S477" si="463">IF(VLOOKUP($D469,$C$5:$AJ$646,17,)=0,0,((VLOOKUP($D469,$C$5:$AJ$646,17,)/VLOOKUP($D469,$C$5:$AJ$646,4,))*$F469))</f>
        <v>0</v>
      </c>
      <c r="T469" s="98">
        <f t="shared" ref="T469:T477" si="464">IF(VLOOKUP($D469,$C$5:$AJ$646,18,)=0,0,((VLOOKUP($D469,$C$5:$AJ$646,18,)/VLOOKUP($D469,$C$5:$AJ$646,4,))*$F469))</f>
        <v>4108.1279183090783</v>
      </c>
      <c r="U469" s="98">
        <f t="shared" ref="U469:U477" si="465">IF(VLOOKUP($D469,$C$5:$AJ$646,19,)=0,0,((VLOOKUP($D469,$C$5:$AJ$646,19,)/VLOOKUP($D469,$C$5:$AJ$646,4,))*$F469))</f>
        <v>0</v>
      </c>
      <c r="V469" s="98">
        <f t="shared" ref="V469:V477" si="466">IF(VLOOKUP($D469,$C$5:$AJ$646,20,)=0,0,((VLOOKUP($D469,$C$5:$AJ$646,20,)/VLOOKUP($D469,$C$5:$AJ$646,4,))*$F469))</f>
        <v>29976.635271372023</v>
      </c>
      <c r="W469" s="98">
        <f t="shared" ref="W469:W477" si="467">IF(VLOOKUP($D469,$C$5:$AJ$646,21,)=0,0,((VLOOKUP($D469,$C$5:$AJ$646,21,)/VLOOKUP($D469,$C$5:$AJ$646,4,))*$F469))</f>
        <v>36829.766221443766</v>
      </c>
      <c r="X469" s="98">
        <f t="shared" ref="X469:X477" si="468">IF(VLOOKUP($D469,$C$5:$AJ$646,22,)=0,0,((VLOOKUP($D469,$C$5:$AJ$646,22,)/VLOOKUP($D469,$C$5:$AJ$646,4,))*$F469))</f>
        <v>5289.9944596538871</v>
      </c>
      <c r="Y469" s="98">
        <f t="shared" ref="Y469:Y477" si="469">IF(VLOOKUP($D469,$C$5:$AJ$646,23,)=0,0,((VLOOKUP($D469,$C$5:$AJ$646,23,)/VLOOKUP($D469,$C$5:$AJ$646,4,))*$F469))</f>
        <v>6499.3705096665472</v>
      </c>
      <c r="Z469" s="98">
        <f t="shared" ref="Z469:Z477" si="470">IF(VLOOKUP($D469,$C$5:$AJ$646,24,)=0,0,((VLOOKUP($D469,$C$5:$AJ$646,24,)/VLOOKUP($D469,$C$5:$AJ$646,4,))*$F469))</f>
        <v>536.99231041870939</v>
      </c>
      <c r="AA469" s="98">
        <f t="shared" ref="AA469:AA477" si="471">IF(VLOOKUP($D469,$C$5:$AJ$646,25,)=0,0,((VLOOKUP($D469,$C$5:$AJ$646,25,)/VLOOKUP($D469,$C$5:$AJ$646,4,))*$F469))</f>
        <v>459.46772004837055</v>
      </c>
      <c r="AB469" s="98">
        <f t="shared" ref="AB469:AB477" si="472">IF(VLOOKUP($D469,$C$5:$AJ$646,26,)=0,0,((VLOOKUP($D469,$C$5:$AJ$646,26,)/VLOOKUP($D469,$C$5:$AJ$646,4,))*$F469))</f>
        <v>50.686696346360748</v>
      </c>
      <c r="AC469" s="98">
        <f t="shared" ref="AC469:AC477" si="473">IF(VLOOKUP($D469,$C$5:$AJ$646,27,)=0,0,((VLOOKUP($D469,$C$5:$AJ$646,27,)/VLOOKUP($D469,$C$5:$AJ$646,4,))*$F469))</f>
        <v>40.167686811946325</v>
      </c>
      <c r="AD469" s="98">
        <f t="shared" ref="AD469:AD477" si="474">IF(VLOOKUP($D469,$C$5:$AJ$646,28,)=0,0,((VLOOKUP($D469,$C$5:$AJ$646,28,)/VLOOKUP($D469,$C$5:$AJ$646,4,))*$F469))</f>
        <v>58.995294701969044</v>
      </c>
      <c r="AE469" s="98"/>
      <c r="AF469" s="98">
        <f t="shared" ref="AF469:AF477" si="475">IF(VLOOKUP($D469,$C$5:$AJ$646,30,)=0,0,((VLOOKUP($D469,$C$5:$AJ$646,30,)/VLOOKUP($D469,$C$5:$AJ$646,4,))*$F469))</f>
        <v>0</v>
      </c>
      <c r="AG469" s="98"/>
      <c r="AH469" s="98">
        <f t="shared" ref="AH469:AH477" si="476">IF(VLOOKUP($D469,$C$5:$AJ$646,32,)=0,0,((VLOOKUP($D469,$C$5:$AJ$646,32,)/VLOOKUP($D469,$C$5:$AJ$646,4,))*$F469))</f>
        <v>0</v>
      </c>
      <c r="AI469" s="98"/>
      <c r="AJ469" s="98">
        <f t="shared" ref="AJ469:AJ477" si="477">IF(VLOOKUP($D469,$C$5:$AJ$646,34,)=0,0,((VLOOKUP($D469,$C$5:$AJ$646,34,)/VLOOKUP($D469,$C$5:$AJ$646,4,))*$F469))</f>
        <v>0</v>
      </c>
      <c r="AK469" s="98">
        <f t="shared" ref="AK469:AK477" si="478">SUM(H469:AJ469)</f>
        <v>83850.204088772633</v>
      </c>
      <c r="AL469" s="95" t="str">
        <f t="shared" ref="AL469:AL477" si="479">IF(ABS(AK469-F469)&lt;1,"ok","err")</f>
        <v>ok</v>
      </c>
    </row>
    <row r="470" spans="1:38" x14ac:dyDescent="0.25">
      <c r="A470" s="94">
        <v>591</v>
      </c>
      <c r="B470" s="94" t="s">
        <v>725</v>
      </c>
      <c r="C470" s="94" t="s">
        <v>911</v>
      </c>
      <c r="D470" s="94" t="s">
        <v>133</v>
      </c>
      <c r="F470" s="98">
        <f>'Jurisdictional Study'!F1381</f>
        <v>0</v>
      </c>
      <c r="H470" s="98">
        <f t="shared" si="454"/>
        <v>0</v>
      </c>
      <c r="I470" s="98">
        <f t="shared" si="455"/>
        <v>0</v>
      </c>
      <c r="J470" s="98">
        <f t="shared" si="456"/>
        <v>0</v>
      </c>
      <c r="K470" s="98">
        <f t="shared" si="457"/>
        <v>0</v>
      </c>
      <c r="L470" s="98">
        <f t="shared" si="458"/>
        <v>0</v>
      </c>
      <c r="M470" s="98">
        <f t="shared" si="459"/>
        <v>0</v>
      </c>
      <c r="N470" s="98"/>
      <c r="O470" s="98">
        <f t="shared" si="460"/>
        <v>0</v>
      </c>
      <c r="P470" s="98">
        <f t="shared" si="461"/>
        <v>0</v>
      </c>
      <c r="Q470" s="98">
        <f t="shared" si="462"/>
        <v>0</v>
      </c>
      <c r="R470" s="98"/>
      <c r="S470" s="98">
        <f t="shared" si="463"/>
        <v>0</v>
      </c>
      <c r="T470" s="98">
        <f t="shared" si="464"/>
        <v>0</v>
      </c>
      <c r="U470" s="98">
        <f t="shared" si="465"/>
        <v>0</v>
      </c>
      <c r="V470" s="98">
        <f t="shared" si="466"/>
        <v>0</v>
      </c>
      <c r="W470" s="98">
        <f t="shared" si="467"/>
        <v>0</v>
      </c>
      <c r="X470" s="98">
        <f t="shared" si="468"/>
        <v>0</v>
      </c>
      <c r="Y470" s="98">
        <f t="shared" si="469"/>
        <v>0</v>
      </c>
      <c r="Z470" s="98">
        <f t="shared" si="470"/>
        <v>0</v>
      </c>
      <c r="AA470" s="98">
        <f t="shared" si="471"/>
        <v>0</v>
      </c>
      <c r="AB470" s="98">
        <f t="shared" si="472"/>
        <v>0</v>
      </c>
      <c r="AC470" s="98">
        <f t="shared" si="473"/>
        <v>0</v>
      </c>
      <c r="AD470" s="98">
        <f t="shared" si="474"/>
        <v>0</v>
      </c>
      <c r="AE470" s="98"/>
      <c r="AF470" s="98">
        <f t="shared" si="475"/>
        <v>0</v>
      </c>
      <c r="AG470" s="98"/>
      <c r="AH470" s="98">
        <f t="shared" si="476"/>
        <v>0</v>
      </c>
      <c r="AI470" s="98"/>
      <c r="AJ470" s="98">
        <f t="shared" si="477"/>
        <v>0</v>
      </c>
      <c r="AK470" s="98">
        <f>SUM(H470:AJ470)</f>
        <v>0</v>
      </c>
      <c r="AL470" s="95" t="str">
        <f>IF(ABS(AK470-F470)&lt;1,"ok","err")</f>
        <v>ok</v>
      </c>
    </row>
    <row r="471" spans="1:38" x14ac:dyDescent="0.25">
      <c r="A471" s="94">
        <v>592</v>
      </c>
      <c r="B471" s="94" t="s">
        <v>462</v>
      </c>
      <c r="C471" s="94" t="s">
        <v>1275</v>
      </c>
      <c r="D471" s="94" t="s">
        <v>133</v>
      </c>
      <c r="F471" s="98">
        <f>'Jurisdictional Study'!F1382</f>
        <v>330040.53053862607</v>
      </c>
      <c r="H471" s="98">
        <f t="shared" si="454"/>
        <v>0</v>
      </c>
      <c r="I471" s="98">
        <f t="shared" si="455"/>
        <v>0</v>
      </c>
      <c r="J471" s="98">
        <f t="shared" si="456"/>
        <v>0</v>
      </c>
      <c r="K471" s="98">
        <f t="shared" si="457"/>
        <v>0</v>
      </c>
      <c r="L471" s="98">
        <f t="shared" si="458"/>
        <v>0</v>
      </c>
      <c r="M471" s="98">
        <f t="shared" si="459"/>
        <v>0</v>
      </c>
      <c r="N471" s="98"/>
      <c r="O471" s="98">
        <f t="shared" si="460"/>
        <v>0</v>
      </c>
      <c r="P471" s="98">
        <f t="shared" si="461"/>
        <v>0</v>
      </c>
      <c r="Q471" s="98">
        <f t="shared" si="462"/>
        <v>0</v>
      </c>
      <c r="R471" s="98"/>
      <c r="S471" s="98">
        <f t="shared" si="463"/>
        <v>0</v>
      </c>
      <c r="T471" s="98">
        <f t="shared" si="464"/>
        <v>330040.53053862607</v>
      </c>
      <c r="U471" s="98">
        <f t="shared" si="465"/>
        <v>0</v>
      </c>
      <c r="V471" s="98">
        <f t="shared" si="466"/>
        <v>0</v>
      </c>
      <c r="W471" s="98">
        <f t="shared" si="467"/>
        <v>0</v>
      </c>
      <c r="X471" s="98">
        <f t="shared" si="468"/>
        <v>0</v>
      </c>
      <c r="Y471" s="98">
        <f t="shared" si="469"/>
        <v>0</v>
      </c>
      <c r="Z471" s="98">
        <f t="shared" si="470"/>
        <v>0</v>
      </c>
      <c r="AA471" s="98">
        <f t="shared" si="471"/>
        <v>0</v>
      </c>
      <c r="AB471" s="98">
        <f t="shared" si="472"/>
        <v>0</v>
      </c>
      <c r="AC471" s="98">
        <f t="shared" si="473"/>
        <v>0</v>
      </c>
      <c r="AD471" s="98">
        <f t="shared" si="474"/>
        <v>0</v>
      </c>
      <c r="AE471" s="98"/>
      <c r="AF471" s="98">
        <f t="shared" si="475"/>
        <v>0</v>
      </c>
      <c r="AG471" s="98"/>
      <c r="AH471" s="98">
        <f t="shared" si="476"/>
        <v>0</v>
      </c>
      <c r="AI471" s="98"/>
      <c r="AJ471" s="98">
        <f t="shared" si="477"/>
        <v>0</v>
      </c>
      <c r="AK471" s="98">
        <f t="shared" si="478"/>
        <v>330040.53053862607</v>
      </c>
      <c r="AL471" s="95" t="str">
        <f t="shared" si="479"/>
        <v>ok</v>
      </c>
    </row>
    <row r="472" spans="1:38" x14ac:dyDescent="0.25">
      <c r="A472" s="94">
        <v>593</v>
      </c>
      <c r="B472" s="94" t="s">
        <v>464</v>
      </c>
      <c r="C472" s="94" t="s">
        <v>1276</v>
      </c>
      <c r="D472" s="94" t="s">
        <v>136</v>
      </c>
      <c r="F472" s="98">
        <f>'Jurisdictional Study'!F1383</f>
        <v>6250996.5594911817</v>
      </c>
      <c r="H472" s="98">
        <f t="shared" si="454"/>
        <v>0</v>
      </c>
      <c r="I472" s="98">
        <f t="shared" si="455"/>
        <v>0</v>
      </c>
      <c r="J472" s="98">
        <f t="shared" si="456"/>
        <v>0</v>
      </c>
      <c r="K472" s="98">
        <f t="shared" si="457"/>
        <v>0</v>
      </c>
      <c r="L472" s="98">
        <f t="shared" si="458"/>
        <v>0</v>
      </c>
      <c r="M472" s="98">
        <f t="shared" si="459"/>
        <v>0</v>
      </c>
      <c r="N472" s="98"/>
      <c r="O472" s="98">
        <f t="shared" si="460"/>
        <v>0</v>
      </c>
      <c r="P472" s="98">
        <f t="shared" si="461"/>
        <v>0</v>
      </c>
      <c r="Q472" s="98">
        <f t="shared" si="462"/>
        <v>0</v>
      </c>
      <c r="R472" s="98"/>
      <c r="S472" s="98">
        <f t="shared" si="463"/>
        <v>0</v>
      </c>
      <c r="T472" s="98">
        <f t="shared" si="464"/>
        <v>0</v>
      </c>
      <c r="U472" s="98">
        <f t="shared" si="465"/>
        <v>0</v>
      </c>
      <c r="V472" s="98">
        <f t="shared" si="466"/>
        <v>2413853.576430317</v>
      </c>
      <c r="W472" s="98">
        <f t="shared" si="467"/>
        <v>2899493.4991371869</v>
      </c>
      <c r="X472" s="98">
        <f t="shared" si="468"/>
        <v>425974.16054652655</v>
      </c>
      <c r="Y472" s="98">
        <f t="shared" si="469"/>
        <v>511675.32337715069</v>
      </c>
      <c r="Z472" s="98">
        <f t="shared" si="470"/>
        <v>0</v>
      </c>
      <c r="AA472" s="98">
        <f t="shared" si="471"/>
        <v>0</v>
      </c>
      <c r="AB472" s="98">
        <f t="shared" si="472"/>
        <v>0</v>
      </c>
      <c r="AC472" s="98">
        <f t="shared" si="473"/>
        <v>0</v>
      </c>
      <c r="AD472" s="98">
        <f t="shared" si="474"/>
        <v>0</v>
      </c>
      <c r="AE472" s="98"/>
      <c r="AF472" s="98">
        <f t="shared" si="475"/>
        <v>0</v>
      </c>
      <c r="AG472" s="98"/>
      <c r="AH472" s="98">
        <f t="shared" si="476"/>
        <v>0</v>
      </c>
      <c r="AI472" s="98"/>
      <c r="AJ472" s="98">
        <f t="shared" si="477"/>
        <v>0</v>
      </c>
      <c r="AK472" s="98">
        <f t="shared" si="478"/>
        <v>6250996.5594911817</v>
      </c>
      <c r="AL472" s="95" t="str">
        <f t="shared" si="479"/>
        <v>ok</v>
      </c>
    </row>
    <row r="473" spans="1:38" x14ac:dyDescent="0.25">
      <c r="A473" s="94">
        <v>594</v>
      </c>
      <c r="B473" s="94" t="s">
        <v>466</v>
      </c>
      <c r="C473" s="94" t="s">
        <v>1277</v>
      </c>
      <c r="D473" s="94" t="s">
        <v>139</v>
      </c>
      <c r="F473" s="98">
        <f>'Jurisdictional Study'!F1384</f>
        <v>167818.70083120654</v>
      </c>
      <c r="H473" s="98">
        <f t="shared" si="454"/>
        <v>0</v>
      </c>
      <c r="I473" s="98">
        <f t="shared" si="455"/>
        <v>0</v>
      </c>
      <c r="J473" s="98">
        <f t="shared" si="456"/>
        <v>0</v>
      </c>
      <c r="K473" s="98">
        <f t="shared" si="457"/>
        <v>0</v>
      </c>
      <c r="L473" s="98">
        <f t="shared" si="458"/>
        <v>0</v>
      </c>
      <c r="M473" s="98">
        <f t="shared" si="459"/>
        <v>0</v>
      </c>
      <c r="N473" s="98"/>
      <c r="O473" s="98">
        <f t="shared" si="460"/>
        <v>0</v>
      </c>
      <c r="P473" s="98">
        <f t="shared" si="461"/>
        <v>0</v>
      </c>
      <c r="Q473" s="98">
        <f t="shared" si="462"/>
        <v>0</v>
      </c>
      <c r="R473" s="98"/>
      <c r="S473" s="98">
        <f t="shared" si="463"/>
        <v>0</v>
      </c>
      <c r="T473" s="98">
        <f t="shared" si="464"/>
        <v>0</v>
      </c>
      <c r="U473" s="98">
        <f t="shared" si="465"/>
        <v>0</v>
      </c>
      <c r="V473" s="98">
        <f t="shared" si="466"/>
        <v>35361.917545647688</v>
      </c>
      <c r="W473" s="98">
        <f t="shared" si="467"/>
        <v>107283.97816087787</v>
      </c>
      <c r="X473" s="98">
        <f t="shared" si="468"/>
        <v>6240.3383904084158</v>
      </c>
      <c r="Y473" s="98">
        <f t="shared" si="469"/>
        <v>18932.466734272566</v>
      </c>
      <c r="Z473" s="98">
        <f t="shared" si="470"/>
        <v>0</v>
      </c>
      <c r="AA473" s="98">
        <f t="shared" si="471"/>
        <v>0</v>
      </c>
      <c r="AB473" s="98">
        <f t="shared" si="472"/>
        <v>0</v>
      </c>
      <c r="AC473" s="98">
        <f t="shared" si="473"/>
        <v>0</v>
      </c>
      <c r="AD473" s="98">
        <f t="shared" si="474"/>
        <v>0</v>
      </c>
      <c r="AE473" s="98"/>
      <c r="AF473" s="98">
        <f t="shared" si="475"/>
        <v>0</v>
      </c>
      <c r="AG473" s="98"/>
      <c r="AH473" s="98">
        <f t="shared" si="476"/>
        <v>0</v>
      </c>
      <c r="AI473" s="98"/>
      <c r="AJ473" s="98">
        <f t="shared" si="477"/>
        <v>0</v>
      </c>
      <c r="AK473" s="98">
        <f t="shared" si="478"/>
        <v>167818.70083120654</v>
      </c>
      <c r="AL473" s="95" t="str">
        <f t="shared" si="479"/>
        <v>ok</v>
      </c>
    </row>
    <row r="474" spans="1:38" x14ac:dyDescent="0.25">
      <c r="A474" s="94">
        <v>595</v>
      </c>
      <c r="B474" s="94" t="s">
        <v>468</v>
      </c>
      <c r="C474" s="94" t="s">
        <v>1278</v>
      </c>
      <c r="D474" s="94" t="s">
        <v>140</v>
      </c>
      <c r="F474" s="98">
        <f>'Jurisdictional Study'!F1385</f>
        <v>68341.522550649664</v>
      </c>
      <c r="H474" s="98">
        <f t="shared" si="454"/>
        <v>0</v>
      </c>
      <c r="I474" s="98">
        <f t="shared" si="455"/>
        <v>0</v>
      </c>
      <c r="J474" s="98">
        <f t="shared" si="456"/>
        <v>0</v>
      </c>
      <c r="K474" s="98">
        <f t="shared" si="457"/>
        <v>0</v>
      </c>
      <c r="L474" s="98">
        <f t="shared" si="458"/>
        <v>0</v>
      </c>
      <c r="M474" s="98">
        <f t="shared" si="459"/>
        <v>0</v>
      </c>
      <c r="N474" s="98"/>
      <c r="O474" s="98">
        <f t="shared" si="460"/>
        <v>0</v>
      </c>
      <c r="P474" s="98">
        <f t="shared" si="461"/>
        <v>0</v>
      </c>
      <c r="Q474" s="98">
        <f t="shared" si="462"/>
        <v>0</v>
      </c>
      <c r="R474" s="98"/>
      <c r="S474" s="98">
        <f t="shared" si="463"/>
        <v>0</v>
      </c>
      <c r="T474" s="98">
        <f t="shared" si="464"/>
        <v>0</v>
      </c>
      <c r="U474" s="98">
        <f t="shared" si="465"/>
        <v>0</v>
      </c>
      <c r="V474" s="98">
        <f t="shared" si="466"/>
        <v>0</v>
      </c>
      <c r="W474" s="98">
        <f t="shared" si="467"/>
        <v>0</v>
      </c>
      <c r="X474" s="98">
        <f t="shared" si="468"/>
        <v>0</v>
      </c>
      <c r="Y474" s="98">
        <f t="shared" si="469"/>
        <v>0</v>
      </c>
      <c r="Z474" s="98">
        <f t="shared" si="470"/>
        <v>36829.246502545109</v>
      </c>
      <c r="AA474" s="98">
        <f t="shared" si="471"/>
        <v>31512.276048104559</v>
      </c>
      <c r="AB474" s="98">
        <f t="shared" si="472"/>
        <v>0</v>
      </c>
      <c r="AC474" s="98">
        <f t="shared" si="473"/>
        <v>0</v>
      </c>
      <c r="AD474" s="98">
        <f t="shared" si="474"/>
        <v>0</v>
      </c>
      <c r="AE474" s="98"/>
      <c r="AF474" s="98">
        <f t="shared" si="475"/>
        <v>0</v>
      </c>
      <c r="AG474" s="98"/>
      <c r="AH474" s="98">
        <f t="shared" si="476"/>
        <v>0</v>
      </c>
      <c r="AI474" s="98"/>
      <c r="AJ474" s="98">
        <f t="shared" si="477"/>
        <v>0</v>
      </c>
      <c r="AK474" s="98">
        <f t="shared" si="478"/>
        <v>68341.522550649664</v>
      </c>
      <c r="AL474" s="95" t="str">
        <f t="shared" si="479"/>
        <v>ok</v>
      </c>
    </row>
    <row r="475" spans="1:38" x14ac:dyDescent="0.25">
      <c r="A475" s="94">
        <v>596</v>
      </c>
      <c r="B475" s="94" t="s">
        <v>575</v>
      </c>
      <c r="C475" s="94" t="s">
        <v>1279</v>
      </c>
      <c r="D475" s="94" t="s">
        <v>198</v>
      </c>
      <c r="F475" s="98">
        <f>'Jurisdictional Study'!F1386</f>
        <v>0</v>
      </c>
      <c r="H475" s="98">
        <f t="shared" si="454"/>
        <v>0</v>
      </c>
      <c r="I475" s="98">
        <f t="shared" si="455"/>
        <v>0</v>
      </c>
      <c r="J475" s="98">
        <f t="shared" si="456"/>
        <v>0</v>
      </c>
      <c r="K475" s="98">
        <f t="shared" si="457"/>
        <v>0</v>
      </c>
      <c r="L475" s="98">
        <f t="shared" si="458"/>
        <v>0</v>
      </c>
      <c r="M475" s="98">
        <f t="shared" si="459"/>
        <v>0</v>
      </c>
      <c r="N475" s="98"/>
      <c r="O475" s="98">
        <f t="shared" si="460"/>
        <v>0</v>
      </c>
      <c r="P475" s="98">
        <f t="shared" si="461"/>
        <v>0</v>
      </c>
      <c r="Q475" s="98">
        <f t="shared" si="462"/>
        <v>0</v>
      </c>
      <c r="R475" s="98"/>
      <c r="S475" s="98">
        <f t="shared" si="463"/>
        <v>0</v>
      </c>
      <c r="T475" s="98">
        <f t="shared" si="464"/>
        <v>0</v>
      </c>
      <c r="U475" s="98">
        <f t="shared" si="465"/>
        <v>0</v>
      </c>
      <c r="V475" s="98">
        <f t="shared" si="466"/>
        <v>0</v>
      </c>
      <c r="W475" s="98">
        <f t="shared" si="467"/>
        <v>0</v>
      </c>
      <c r="X475" s="98">
        <f t="shared" si="468"/>
        <v>0</v>
      </c>
      <c r="Y475" s="98">
        <f t="shared" si="469"/>
        <v>0</v>
      </c>
      <c r="Z475" s="98">
        <f t="shared" si="470"/>
        <v>0</v>
      </c>
      <c r="AA475" s="98">
        <f t="shared" si="471"/>
        <v>0</v>
      </c>
      <c r="AB475" s="98">
        <f t="shared" si="472"/>
        <v>0</v>
      </c>
      <c r="AC475" s="98">
        <f t="shared" si="473"/>
        <v>0</v>
      </c>
      <c r="AD475" s="98">
        <f t="shared" si="474"/>
        <v>0</v>
      </c>
      <c r="AE475" s="98"/>
      <c r="AF475" s="98">
        <f t="shared" si="475"/>
        <v>0</v>
      </c>
      <c r="AG475" s="98"/>
      <c r="AH475" s="98">
        <f t="shared" si="476"/>
        <v>0</v>
      </c>
      <c r="AI475" s="98"/>
      <c r="AJ475" s="98">
        <f t="shared" si="477"/>
        <v>0</v>
      </c>
      <c r="AK475" s="98">
        <f t="shared" si="478"/>
        <v>0</v>
      </c>
      <c r="AL475" s="95" t="str">
        <f t="shared" si="479"/>
        <v>ok</v>
      </c>
    </row>
    <row r="476" spans="1:38" x14ac:dyDescent="0.25">
      <c r="A476" s="94">
        <v>597</v>
      </c>
      <c r="B476" s="94" t="s">
        <v>470</v>
      </c>
      <c r="C476" s="94" t="s">
        <v>1280</v>
      </c>
      <c r="D476" s="94" t="s">
        <v>195</v>
      </c>
      <c r="F476" s="98">
        <f>'Jurisdictional Study'!F1387</f>
        <v>0</v>
      </c>
      <c r="H476" s="98">
        <f t="shared" si="454"/>
        <v>0</v>
      </c>
      <c r="I476" s="98">
        <f t="shared" si="455"/>
        <v>0</v>
      </c>
      <c r="J476" s="98">
        <f t="shared" si="456"/>
        <v>0</v>
      </c>
      <c r="K476" s="98">
        <f t="shared" si="457"/>
        <v>0</v>
      </c>
      <c r="L476" s="98">
        <f t="shared" si="458"/>
        <v>0</v>
      </c>
      <c r="M476" s="98">
        <f t="shared" si="459"/>
        <v>0</v>
      </c>
      <c r="N476" s="98"/>
      <c r="O476" s="98">
        <f t="shared" si="460"/>
        <v>0</v>
      </c>
      <c r="P476" s="98">
        <f t="shared" si="461"/>
        <v>0</v>
      </c>
      <c r="Q476" s="98">
        <f t="shared" si="462"/>
        <v>0</v>
      </c>
      <c r="R476" s="98"/>
      <c r="S476" s="98">
        <f t="shared" si="463"/>
        <v>0</v>
      </c>
      <c r="T476" s="98">
        <f t="shared" si="464"/>
        <v>0</v>
      </c>
      <c r="U476" s="98">
        <f t="shared" si="465"/>
        <v>0</v>
      </c>
      <c r="V476" s="98">
        <f t="shared" si="466"/>
        <v>0</v>
      </c>
      <c r="W476" s="98">
        <f t="shared" si="467"/>
        <v>0</v>
      </c>
      <c r="X476" s="98">
        <f t="shared" si="468"/>
        <v>0</v>
      </c>
      <c r="Y476" s="98">
        <f t="shared" si="469"/>
        <v>0</v>
      </c>
      <c r="Z476" s="98">
        <f t="shared" si="470"/>
        <v>0</v>
      </c>
      <c r="AA476" s="98">
        <f t="shared" si="471"/>
        <v>0</v>
      </c>
      <c r="AB476" s="98">
        <f t="shared" si="472"/>
        <v>0</v>
      </c>
      <c r="AC476" s="98">
        <f t="shared" si="473"/>
        <v>0</v>
      </c>
      <c r="AD476" s="98">
        <f t="shared" si="474"/>
        <v>0</v>
      </c>
      <c r="AE476" s="98"/>
      <c r="AF476" s="98">
        <f t="shared" si="475"/>
        <v>0</v>
      </c>
      <c r="AG476" s="98"/>
      <c r="AH476" s="98">
        <f t="shared" si="476"/>
        <v>0</v>
      </c>
      <c r="AI476" s="98"/>
      <c r="AJ476" s="98">
        <f t="shared" si="477"/>
        <v>0</v>
      </c>
      <c r="AK476" s="98">
        <f t="shared" si="478"/>
        <v>0</v>
      </c>
      <c r="AL476" s="95" t="str">
        <f t="shared" si="479"/>
        <v>ok</v>
      </c>
    </row>
    <row r="477" spans="1:38" x14ac:dyDescent="0.25">
      <c r="A477" s="94">
        <v>598</v>
      </c>
      <c r="B477" s="94" t="s">
        <v>579</v>
      </c>
      <c r="C477" s="94" t="s">
        <v>1281</v>
      </c>
      <c r="D477" s="94" t="s">
        <v>129</v>
      </c>
      <c r="F477" s="98">
        <f>'Jurisdictional Study'!F1388</f>
        <v>66381.964709725042</v>
      </c>
      <c r="H477" s="98">
        <f t="shared" si="454"/>
        <v>0</v>
      </c>
      <c r="I477" s="98">
        <f t="shared" si="455"/>
        <v>0</v>
      </c>
      <c r="J477" s="98">
        <f t="shared" si="456"/>
        <v>0</v>
      </c>
      <c r="K477" s="98">
        <f t="shared" si="457"/>
        <v>0</v>
      </c>
      <c r="L477" s="98">
        <f t="shared" si="458"/>
        <v>0</v>
      </c>
      <c r="M477" s="98">
        <f t="shared" si="459"/>
        <v>0</v>
      </c>
      <c r="N477" s="98"/>
      <c r="O477" s="98">
        <f t="shared" si="460"/>
        <v>0</v>
      </c>
      <c r="P477" s="98">
        <f t="shared" si="461"/>
        <v>0</v>
      </c>
      <c r="Q477" s="98">
        <f t="shared" si="462"/>
        <v>0</v>
      </c>
      <c r="R477" s="98"/>
      <c r="S477" s="98">
        <f t="shared" si="463"/>
        <v>0</v>
      </c>
      <c r="T477" s="98">
        <f t="shared" si="464"/>
        <v>7211.1734692210302</v>
      </c>
      <c r="U477" s="98">
        <f t="shared" si="465"/>
        <v>0</v>
      </c>
      <c r="V477" s="98">
        <f t="shared" si="466"/>
        <v>11679.474906388828</v>
      </c>
      <c r="W477" s="98">
        <f t="shared" si="467"/>
        <v>16716.840158595794</v>
      </c>
      <c r="X477" s="98">
        <f t="shared" si="468"/>
        <v>2061.083807009793</v>
      </c>
      <c r="Y477" s="98">
        <f t="shared" si="469"/>
        <v>2950.0306162227876</v>
      </c>
      <c r="Z477" s="98">
        <f t="shared" si="470"/>
        <v>7254.4761392665523</v>
      </c>
      <c r="AA477" s="98">
        <f t="shared" si="471"/>
        <v>6207.1607864461075</v>
      </c>
      <c r="AB477" s="98">
        <f t="shared" si="472"/>
        <v>4161.0619370329905</v>
      </c>
      <c r="AC477" s="98">
        <f t="shared" si="473"/>
        <v>3297.5167990772466</v>
      </c>
      <c r="AD477" s="98">
        <f t="shared" si="474"/>
        <v>4843.1460904638907</v>
      </c>
      <c r="AE477" s="98"/>
      <c r="AF477" s="98">
        <f t="shared" si="475"/>
        <v>0</v>
      </c>
      <c r="AG477" s="98"/>
      <c r="AH477" s="98">
        <f t="shared" si="476"/>
        <v>0</v>
      </c>
      <c r="AI477" s="98"/>
      <c r="AJ477" s="98">
        <f t="shared" si="477"/>
        <v>0</v>
      </c>
      <c r="AK477" s="98">
        <f t="shared" si="478"/>
        <v>66381.964709725013</v>
      </c>
      <c r="AL477" s="95" t="str">
        <f t="shared" si="479"/>
        <v>ok</v>
      </c>
    </row>
    <row r="478" spans="1:38" x14ac:dyDescent="0.25">
      <c r="F478" s="98"/>
      <c r="H478" s="98"/>
      <c r="I478" s="98"/>
      <c r="J478" s="98"/>
      <c r="K478" s="98"/>
      <c r="L478" s="98"/>
      <c r="M478" s="98"/>
      <c r="N478" s="98"/>
      <c r="O478" s="98"/>
      <c r="P478" s="98"/>
      <c r="Q478" s="98"/>
      <c r="R478" s="98"/>
      <c r="S478" s="98"/>
      <c r="T478" s="98"/>
      <c r="U478" s="98"/>
      <c r="V478" s="98"/>
      <c r="W478" s="98"/>
      <c r="X478" s="98"/>
      <c r="Y478" s="98"/>
      <c r="Z478" s="98"/>
      <c r="AA478" s="98"/>
      <c r="AB478" s="98"/>
      <c r="AC478" s="98"/>
      <c r="AD478" s="98"/>
      <c r="AE478" s="98"/>
      <c r="AF478" s="98"/>
      <c r="AG478" s="98"/>
      <c r="AH478" s="98"/>
      <c r="AI478" s="98"/>
      <c r="AJ478" s="98"/>
      <c r="AK478" s="98"/>
      <c r="AL478" s="95"/>
    </row>
    <row r="479" spans="1:38" x14ac:dyDescent="0.25">
      <c r="A479" s="94" t="s">
        <v>1319</v>
      </c>
      <c r="C479" s="94" t="s">
        <v>1282</v>
      </c>
      <c r="F479" s="97">
        <f t="shared" ref="F479:M479" si="480">SUM(F469:F478)</f>
        <v>6967429.4822101621</v>
      </c>
      <c r="G479" s="97">
        <f t="shared" si="480"/>
        <v>0</v>
      </c>
      <c r="H479" s="97">
        <f t="shared" si="480"/>
        <v>0</v>
      </c>
      <c r="I479" s="97">
        <f t="shared" si="480"/>
        <v>0</v>
      </c>
      <c r="J479" s="97">
        <f t="shared" si="480"/>
        <v>0</v>
      </c>
      <c r="K479" s="97">
        <f t="shared" si="480"/>
        <v>0</v>
      </c>
      <c r="L479" s="97">
        <f t="shared" si="480"/>
        <v>0</v>
      </c>
      <c r="M479" s="97">
        <f t="shared" si="480"/>
        <v>0</v>
      </c>
      <c r="N479" s="97"/>
      <c r="O479" s="97">
        <f>SUM(O469:O478)</f>
        <v>0</v>
      </c>
      <c r="P479" s="97">
        <f>SUM(P469:P478)</f>
        <v>0</v>
      </c>
      <c r="Q479" s="97">
        <f>SUM(Q469:Q478)</f>
        <v>0</v>
      </c>
      <c r="R479" s="97"/>
      <c r="S479" s="97">
        <f t="shared" ref="S479:AD479" si="481">SUM(S469:S478)</f>
        <v>0</v>
      </c>
      <c r="T479" s="97">
        <f t="shared" si="481"/>
        <v>341359.83192615618</v>
      </c>
      <c r="U479" s="97">
        <f t="shared" si="481"/>
        <v>0</v>
      </c>
      <c r="V479" s="97">
        <f t="shared" si="481"/>
        <v>2490871.6041537253</v>
      </c>
      <c r="W479" s="97">
        <f t="shared" si="481"/>
        <v>3060324.083678104</v>
      </c>
      <c r="X479" s="97">
        <f t="shared" si="481"/>
        <v>439565.57720359869</v>
      </c>
      <c r="Y479" s="97">
        <f t="shared" si="481"/>
        <v>540057.19123731263</v>
      </c>
      <c r="Z479" s="97">
        <f t="shared" si="481"/>
        <v>44620.714952230373</v>
      </c>
      <c r="AA479" s="97">
        <f t="shared" si="481"/>
        <v>38178.904554599038</v>
      </c>
      <c r="AB479" s="97">
        <f t="shared" si="481"/>
        <v>4211.7486333793513</v>
      </c>
      <c r="AC479" s="97">
        <f t="shared" si="481"/>
        <v>3337.6844858891927</v>
      </c>
      <c r="AD479" s="97">
        <f t="shared" si="481"/>
        <v>4902.1413851658599</v>
      </c>
      <c r="AE479" s="97"/>
      <c r="AF479" s="97">
        <f>SUM(AF469:AF478)</f>
        <v>0</v>
      </c>
      <c r="AG479" s="97"/>
      <c r="AH479" s="97">
        <f>SUM(AH469:AH478)</f>
        <v>0</v>
      </c>
      <c r="AI479" s="97"/>
      <c r="AJ479" s="97">
        <f>SUM(AJ469:AJ478)</f>
        <v>0</v>
      </c>
      <c r="AK479" s="98">
        <f>SUM(H479:AJ479)</f>
        <v>6967429.4822101612</v>
      </c>
      <c r="AL479" s="95" t="str">
        <f>IF(ABS(AK479-F479)&lt;1,"ok","err")</f>
        <v>ok</v>
      </c>
    </row>
    <row r="480" spans="1:38" x14ac:dyDescent="0.25">
      <c r="F480" s="98"/>
      <c r="H480" s="98"/>
      <c r="I480" s="98"/>
      <c r="J480" s="98"/>
      <c r="K480" s="98"/>
      <c r="L480" s="98"/>
      <c r="M480" s="98"/>
      <c r="N480" s="98"/>
      <c r="O480" s="98"/>
      <c r="P480" s="98"/>
      <c r="Q480" s="98"/>
      <c r="R480" s="98"/>
      <c r="S480" s="98"/>
      <c r="T480" s="98"/>
      <c r="U480" s="98"/>
      <c r="V480" s="98"/>
      <c r="W480" s="98"/>
      <c r="X480" s="98"/>
      <c r="Y480" s="98"/>
      <c r="Z480" s="98"/>
      <c r="AA480" s="98"/>
      <c r="AB480" s="98"/>
      <c r="AC480" s="98"/>
      <c r="AD480" s="98"/>
      <c r="AE480" s="98"/>
      <c r="AF480" s="98"/>
      <c r="AG480" s="98"/>
      <c r="AH480" s="98"/>
      <c r="AI480" s="98"/>
      <c r="AJ480" s="98"/>
      <c r="AL480" s="95"/>
    </row>
    <row r="481" spans="1:38" x14ac:dyDescent="0.25">
      <c r="A481" s="94" t="s">
        <v>1320</v>
      </c>
      <c r="D481" s="94" t="s">
        <v>129</v>
      </c>
      <c r="F481" s="98">
        <f>F457+F479</f>
        <v>18356089.505954929</v>
      </c>
      <c r="G481" s="98">
        <f>G457+G479</f>
        <v>0</v>
      </c>
      <c r="H481" s="98">
        <f>IF(VLOOKUP($D481,$C$5:$AJ$646,6,)=0,0,((VLOOKUP($D481,$C$5:$AJ$646,6,)/VLOOKUP($D481,$C$5:$AJ$646,4,))*$F481))</f>
        <v>0</v>
      </c>
      <c r="I481" s="98">
        <f>IF(VLOOKUP($D481,$C$5:$AJ$646,7,)=0,0,((VLOOKUP($D481,$C$5:$AJ$646,7,)/VLOOKUP($D481,$C$5:$AJ$646,4,))*$F481))</f>
        <v>0</v>
      </c>
      <c r="J481" s="98">
        <f>IF(VLOOKUP($D481,$C$5:$AJ$646,8,)=0,0,((VLOOKUP($D481,$C$5:$AJ$646,8,)/VLOOKUP($D481,$C$5:$AJ$646,4,))*$F481))</f>
        <v>0</v>
      </c>
      <c r="K481" s="98">
        <f>IF(VLOOKUP($D481,$C$5:$AJ$646,9,)=0,0,((VLOOKUP($D481,$C$5:$AJ$646,9,)/VLOOKUP($D481,$C$5:$AJ$646,4,))*$F481))</f>
        <v>0</v>
      </c>
      <c r="L481" s="98">
        <f>IF(VLOOKUP($D481,$C$5:$AJ$646,10,)=0,0,((VLOOKUP($D481,$C$5:$AJ$646,10,)/VLOOKUP($D481,$C$5:$AJ$646,4,))*$F481))</f>
        <v>0</v>
      </c>
      <c r="M481" s="98">
        <f>IF(VLOOKUP($D481,$C$5:$AJ$646,11,)=0,0,((VLOOKUP($D481,$C$5:$AJ$646,11,)/VLOOKUP($D481,$C$5:$AJ$646,4,))*$F481))</f>
        <v>0</v>
      </c>
      <c r="N481" s="98"/>
      <c r="O481" s="98">
        <f>IF(VLOOKUP($D481,$C$5:$AJ$646,13,)=0,0,((VLOOKUP($D481,$C$5:$AJ$646,13,)/VLOOKUP($D481,$C$5:$AJ$646,4,))*$F481))</f>
        <v>0</v>
      </c>
      <c r="P481" s="98">
        <f>IF(VLOOKUP($D481,$C$5:$AJ$646,14,)=0,0,((VLOOKUP($D481,$C$5:$AJ$646,14,)/VLOOKUP($D481,$C$5:$AJ$646,4,))*$F481))</f>
        <v>0</v>
      </c>
      <c r="Q481" s="98">
        <f>IF(VLOOKUP($D481,$C$5:$AJ$646,15,)=0,0,((VLOOKUP($D481,$C$5:$AJ$646,15,)/VLOOKUP($D481,$C$5:$AJ$646,4,))*$F481))</f>
        <v>0</v>
      </c>
      <c r="R481" s="98"/>
      <c r="S481" s="98">
        <f>IF(VLOOKUP($D481,$C$5:$AJ$646,17,)=0,0,((VLOOKUP($D481,$C$5:$AJ$646,17,)/VLOOKUP($D481,$C$5:$AJ$646,4,))*$F481))</f>
        <v>0</v>
      </c>
      <c r="T481" s="98">
        <f>IF(VLOOKUP($D481,$C$5:$AJ$646,18,)=0,0,((VLOOKUP($D481,$C$5:$AJ$646,18,)/VLOOKUP($D481,$C$5:$AJ$646,4,))*$F481))</f>
        <v>1994049.8330052672</v>
      </c>
      <c r="U481" s="98">
        <f>IF(VLOOKUP($D481,$C$5:$AJ$646,19,)=0,0,((VLOOKUP($D481,$C$5:$AJ$646,19,)/VLOOKUP($D481,$C$5:$AJ$646,4,))*$F481))</f>
        <v>0</v>
      </c>
      <c r="V481" s="98">
        <f>IF(VLOOKUP($D481,$C$5:$AJ$646,20,)=0,0,((VLOOKUP($D481,$C$5:$AJ$646,20,)/VLOOKUP($D481,$C$5:$AJ$646,4,))*$F481))</f>
        <v>3229634.5506149135</v>
      </c>
      <c r="W481" s="98">
        <f>IF(VLOOKUP($D481,$C$5:$AJ$646,21,)=0,0,((VLOOKUP($D481,$C$5:$AJ$646,21,)/VLOOKUP($D481,$C$5:$AJ$646,4,))*$F481))</f>
        <v>4622578.0684519485</v>
      </c>
      <c r="X481" s="98">
        <f>IF(VLOOKUP($D481,$C$5:$AJ$646,22,)=0,0,((VLOOKUP($D481,$C$5:$AJ$646,22,)/VLOOKUP($D481,$C$5:$AJ$646,4,))*$F481))</f>
        <v>569935.50893204357</v>
      </c>
      <c r="Y481" s="98">
        <f>IF(VLOOKUP($D481,$C$5:$AJ$646,23,)=0,0,((VLOOKUP($D481,$C$5:$AJ$646,23,)/VLOOKUP($D481,$C$5:$AJ$646,4,))*$F481))</f>
        <v>815749.07090328517</v>
      </c>
      <c r="Z481" s="98">
        <f>IF(VLOOKUP($D481,$C$5:$AJ$646,24,)=0,0,((VLOOKUP($D481,$C$5:$AJ$646,24,)/VLOOKUP($D481,$C$5:$AJ$646,4,))*$F481))</f>
        <v>2006023.9842778039</v>
      </c>
      <c r="AA481" s="98">
        <f>IF(VLOOKUP($D481,$C$5:$AJ$646,25,)=0,0,((VLOOKUP($D481,$C$5:$AJ$646,25,)/VLOOKUP($D481,$C$5:$AJ$646,4,))*$F481))</f>
        <v>1716417.9980525055</v>
      </c>
      <c r="AB481" s="98">
        <f>IF(VLOOKUP($D481,$C$5:$AJ$646,26,)=0,0,((VLOOKUP($D481,$C$5:$AJ$646,26,)/VLOOKUP($D481,$C$5:$AJ$646,4,))*$F481))</f>
        <v>1150626.1631453321</v>
      </c>
      <c r="AC481" s="98">
        <f>IF(VLOOKUP($D481,$C$5:$AJ$646,27,)=0,0,((VLOOKUP($D481,$C$5:$AJ$646,27,)/VLOOKUP($D481,$C$5:$AJ$646,4,))*$F481))</f>
        <v>911836.72818265168</v>
      </c>
      <c r="AD481" s="98">
        <f>IF(VLOOKUP($D481,$C$5:$AJ$646,28,)=0,0,((VLOOKUP($D481,$C$5:$AJ$646,28,)/VLOOKUP($D481,$C$5:$AJ$646,4,))*$F481))</f>
        <v>1339237.6003891721</v>
      </c>
      <c r="AE481" s="98"/>
      <c r="AF481" s="98">
        <f>IF(VLOOKUP($D481,$C$5:$AJ$646,30,)=0,0,((VLOOKUP($D481,$C$5:$AJ$646,30,)/VLOOKUP($D481,$C$5:$AJ$646,4,))*$F481))</f>
        <v>0</v>
      </c>
      <c r="AG481" s="98"/>
      <c r="AH481" s="98">
        <f>IF(VLOOKUP($D481,$C$5:$AJ$646,32,)=0,0,((VLOOKUP($D481,$C$5:$AJ$646,32,)/VLOOKUP($D481,$C$5:$AJ$646,4,))*$F481))</f>
        <v>0</v>
      </c>
      <c r="AI481" s="98"/>
      <c r="AJ481" s="98">
        <f>IF(VLOOKUP($D481,$C$5:$AJ$646,34,)=0,0,((VLOOKUP($D481,$C$5:$AJ$646,34,)/VLOOKUP($D481,$C$5:$AJ$646,4,))*$F481))</f>
        <v>0</v>
      </c>
      <c r="AK481" s="98">
        <f>SUM(H481:AJ481)</f>
        <v>18356089.505954921</v>
      </c>
      <c r="AL481" s="95" t="str">
        <f>IF(ABS(AK481-F481)&lt;1,"ok","err")</f>
        <v>ok</v>
      </c>
    </row>
    <row r="482" spans="1:38" x14ac:dyDescent="0.25">
      <c r="F482" s="98"/>
      <c r="G482" s="98"/>
      <c r="H482" s="98"/>
      <c r="I482" s="98"/>
      <c r="J482" s="98"/>
      <c r="K482" s="98"/>
      <c r="L482" s="98"/>
      <c r="M482" s="98"/>
      <c r="N482" s="98"/>
      <c r="O482" s="98"/>
      <c r="P482" s="98"/>
      <c r="Q482" s="98"/>
      <c r="R482" s="98"/>
      <c r="S482" s="98"/>
      <c r="T482" s="98"/>
      <c r="U482" s="98"/>
      <c r="V482" s="98"/>
      <c r="W482" s="98"/>
      <c r="X482" s="98"/>
      <c r="Y482" s="98"/>
      <c r="Z482" s="98"/>
      <c r="AA482" s="98"/>
      <c r="AB482" s="98"/>
      <c r="AC482" s="98"/>
      <c r="AD482" s="98"/>
      <c r="AE482" s="98"/>
      <c r="AF482" s="98"/>
      <c r="AG482" s="98"/>
      <c r="AH482" s="98"/>
      <c r="AI482" s="98"/>
      <c r="AJ482" s="98"/>
      <c r="AL482" s="95"/>
    </row>
    <row r="483" spans="1:38" x14ac:dyDescent="0.25">
      <c r="A483" s="94" t="s">
        <v>1321</v>
      </c>
      <c r="F483" s="98">
        <f t="shared" ref="F483:M483" si="482">F481+F442</f>
        <v>23015218.426142655</v>
      </c>
      <c r="G483" s="98">
        <f t="shared" si="482"/>
        <v>0</v>
      </c>
      <c r="H483" s="98">
        <f t="shared" si="482"/>
        <v>0</v>
      </c>
      <c r="I483" s="98">
        <f t="shared" si="482"/>
        <v>0</v>
      </c>
      <c r="J483" s="98">
        <f t="shared" si="482"/>
        <v>0</v>
      </c>
      <c r="K483" s="98">
        <f t="shared" si="482"/>
        <v>0</v>
      </c>
      <c r="L483" s="98">
        <f t="shared" si="482"/>
        <v>0</v>
      </c>
      <c r="M483" s="98">
        <f t="shared" si="482"/>
        <v>0</v>
      </c>
      <c r="N483" s="98"/>
      <c r="O483" s="98">
        <f>O481+O442</f>
        <v>1600627.3273765107</v>
      </c>
      <c r="P483" s="98">
        <f>P481+P442</f>
        <v>1508875.7653872478</v>
      </c>
      <c r="Q483" s="98">
        <f>Q481+Q442</f>
        <v>1549625.8274239658</v>
      </c>
      <c r="R483" s="98"/>
      <c r="S483" s="98">
        <f t="shared" ref="S483:AD483" si="483">S481+S442</f>
        <v>0</v>
      </c>
      <c r="T483" s="98">
        <f t="shared" si="483"/>
        <v>1994049.8330052672</v>
      </c>
      <c r="U483" s="98">
        <f t="shared" si="483"/>
        <v>0</v>
      </c>
      <c r="V483" s="98">
        <f t="shared" si="483"/>
        <v>3229634.5506149135</v>
      </c>
      <c r="W483" s="98">
        <f t="shared" si="483"/>
        <v>4622578.0684519485</v>
      </c>
      <c r="X483" s="98">
        <f t="shared" si="483"/>
        <v>569935.50893204357</v>
      </c>
      <c r="Y483" s="98">
        <f t="shared" si="483"/>
        <v>815749.07090328517</v>
      </c>
      <c r="Z483" s="98">
        <f t="shared" si="483"/>
        <v>2006023.9842778039</v>
      </c>
      <c r="AA483" s="98">
        <f t="shared" si="483"/>
        <v>1716417.9980525055</v>
      </c>
      <c r="AB483" s="98">
        <f t="shared" si="483"/>
        <v>1150626.1631453321</v>
      </c>
      <c r="AC483" s="98">
        <f t="shared" si="483"/>
        <v>911836.72818265168</v>
      </c>
      <c r="AD483" s="98">
        <f t="shared" si="483"/>
        <v>1339237.6003891721</v>
      </c>
      <c r="AE483" s="98"/>
      <c r="AF483" s="98">
        <f>AF481+AF442</f>
        <v>0</v>
      </c>
      <c r="AG483" s="98"/>
      <c r="AH483" s="98">
        <f>AH481+AH442</f>
        <v>0</v>
      </c>
      <c r="AI483" s="98"/>
      <c r="AJ483" s="98">
        <f>AJ481+AJ442</f>
        <v>0</v>
      </c>
      <c r="AK483" s="98">
        <f>SUM(H483:AJ483)</f>
        <v>23015218.426142644</v>
      </c>
      <c r="AL483" s="95" t="str">
        <f>IF(ABS(AK483-F483)&lt;1,"ok","err")</f>
        <v>ok</v>
      </c>
    </row>
    <row r="484" spans="1:38" x14ac:dyDescent="0.25">
      <c r="F484" s="98"/>
      <c r="G484" s="98"/>
      <c r="H484" s="98"/>
      <c r="I484" s="98"/>
      <c r="J484" s="98"/>
      <c r="K484" s="98"/>
      <c r="L484" s="98"/>
      <c r="M484" s="98"/>
      <c r="N484" s="98"/>
      <c r="O484" s="98"/>
      <c r="P484" s="98"/>
      <c r="Q484" s="98"/>
      <c r="R484" s="98"/>
      <c r="S484" s="98"/>
      <c r="T484" s="98"/>
      <c r="U484" s="98"/>
      <c r="V484" s="98"/>
      <c r="W484" s="98"/>
      <c r="X484" s="98"/>
      <c r="Y484" s="98"/>
      <c r="Z484" s="98"/>
      <c r="AA484" s="98"/>
      <c r="AB484" s="98"/>
      <c r="AC484" s="98"/>
      <c r="AD484" s="98"/>
      <c r="AE484" s="98"/>
      <c r="AF484" s="98"/>
      <c r="AG484" s="98"/>
      <c r="AH484" s="98"/>
      <c r="AI484" s="98"/>
      <c r="AJ484" s="98"/>
      <c r="AL484" s="95"/>
    </row>
    <row r="485" spans="1:38" x14ac:dyDescent="0.25">
      <c r="A485" s="94" t="s">
        <v>2076</v>
      </c>
      <c r="C485" s="94" t="s">
        <v>1283</v>
      </c>
      <c r="F485" s="97">
        <f>F483+F421+F428</f>
        <v>64434373.699271724</v>
      </c>
      <c r="G485" s="97">
        <f>G483+G428</f>
        <v>0</v>
      </c>
      <c r="H485" s="97">
        <f t="shared" ref="H485:M485" si="484">H483+H421+H428</f>
        <v>7690966.2622578945</v>
      </c>
      <c r="I485" s="97">
        <f t="shared" si="484"/>
        <v>7250102.76099212</v>
      </c>
      <c r="J485" s="97">
        <f t="shared" si="484"/>
        <v>7445905.5858901553</v>
      </c>
      <c r="K485" s="97">
        <f t="shared" si="484"/>
        <v>19032180.663988903</v>
      </c>
      <c r="L485" s="97">
        <f t="shared" si="484"/>
        <v>0</v>
      </c>
      <c r="M485" s="97">
        <f t="shared" si="484"/>
        <v>0</v>
      </c>
      <c r="N485" s="97"/>
      <c r="O485" s="97">
        <f>O483+O421+O428</f>
        <v>1600627.3273765107</v>
      </c>
      <c r="P485" s="97">
        <f>P483+P421+P428</f>
        <v>1508875.7653872478</v>
      </c>
      <c r="Q485" s="97">
        <f>Q483+Q421+Q428</f>
        <v>1549625.8274239658</v>
      </c>
      <c r="R485" s="97"/>
      <c r="S485" s="97">
        <f t="shared" ref="S485:AD485" si="485">S483+S421+S428</f>
        <v>0</v>
      </c>
      <c r="T485" s="97">
        <f t="shared" si="485"/>
        <v>1994049.8330052672</v>
      </c>
      <c r="U485" s="97">
        <f t="shared" si="485"/>
        <v>0</v>
      </c>
      <c r="V485" s="97">
        <f t="shared" si="485"/>
        <v>3229634.5506149135</v>
      </c>
      <c r="W485" s="97">
        <f t="shared" si="485"/>
        <v>4622578.0684519485</v>
      </c>
      <c r="X485" s="97">
        <f t="shared" si="485"/>
        <v>569935.50893204357</v>
      </c>
      <c r="Y485" s="97">
        <f t="shared" si="485"/>
        <v>815749.07090328517</v>
      </c>
      <c r="Z485" s="97">
        <f t="shared" si="485"/>
        <v>2006023.9842778039</v>
      </c>
      <c r="AA485" s="97">
        <f t="shared" si="485"/>
        <v>1716417.9980525055</v>
      </c>
      <c r="AB485" s="97">
        <f t="shared" si="485"/>
        <v>1150626.1631453321</v>
      </c>
      <c r="AC485" s="97">
        <f t="shared" si="485"/>
        <v>911836.72818265168</v>
      </c>
      <c r="AD485" s="97">
        <f t="shared" si="485"/>
        <v>1339237.6003891721</v>
      </c>
      <c r="AE485" s="97"/>
      <c r="AF485" s="97">
        <f>AF483+AF421+AF428</f>
        <v>0</v>
      </c>
      <c r="AG485" s="97"/>
      <c r="AH485" s="97">
        <f>AH483+AH421+AH428</f>
        <v>0</v>
      </c>
      <c r="AI485" s="97"/>
      <c r="AJ485" s="97">
        <f>AJ483+AJ421+AJ428</f>
        <v>0</v>
      </c>
      <c r="AK485" s="98">
        <f>SUM(H485:AJ485)</f>
        <v>64434373.699271731</v>
      </c>
      <c r="AL485" s="95" t="str">
        <f>IF(ABS(AK485-F485)&lt;1,"ok","err")</f>
        <v>ok</v>
      </c>
    </row>
    <row r="486" spans="1:38" x14ac:dyDescent="0.25">
      <c r="A486" s="16"/>
      <c r="F486" s="98"/>
      <c r="H486" s="98"/>
      <c r="I486" s="98"/>
      <c r="J486" s="98"/>
      <c r="K486" s="98"/>
      <c r="L486" s="98"/>
      <c r="M486" s="98"/>
      <c r="N486" s="98"/>
      <c r="O486" s="98"/>
      <c r="P486" s="98"/>
      <c r="Q486" s="98"/>
      <c r="R486" s="98"/>
      <c r="S486" s="98"/>
      <c r="T486" s="98"/>
      <c r="U486" s="98"/>
      <c r="V486" s="98"/>
      <c r="W486" s="98"/>
      <c r="X486" s="98"/>
      <c r="Y486" s="98"/>
      <c r="Z486" s="98"/>
      <c r="AA486" s="98"/>
      <c r="AB486" s="98"/>
      <c r="AC486" s="98"/>
      <c r="AD486" s="98"/>
      <c r="AE486" s="98"/>
      <c r="AF486" s="98"/>
      <c r="AG486" s="98"/>
      <c r="AH486" s="98"/>
      <c r="AI486" s="98"/>
      <c r="AJ486" s="98"/>
      <c r="AL486" s="95"/>
    </row>
    <row r="487" spans="1:38" x14ac:dyDescent="0.25">
      <c r="A487" s="16" t="s">
        <v>381</v>
      </c>
      <c r="F487" s="98"/>
      <c r="H487" s="98"/>
      <c r="I487" s="98"/>
      <c r="J487" s="98"/>
      <c r="K487" s="98"/>
      <c r="L487" s="98"/>
      <c r="M487" s="98"/>
      <c r="N487" s="98"/>
      <c r="O487" s="98"/>
      <c r="P487" s="98"/>
      <c r="Q487" s="98"/>
      <c r="R487" s="98"/>
      <c r="S487" s="98"/>
      <c r="T487" s="98"/>
      <c r="U487" s="98"/>
      <c r="V487" s="98"/>
      <c r="W487" s="98"/>
      <c r="X487" s="98"/>
      <c r="Y487" s="98"/>
      <c r="Z487" s="98"/>
      <c r="AA487" s="98"/>
      <c r="AB487" s="98"/>
      <c r="AC487" s="98"/>
      <c r="AD487" s="98"/>
      <c r="AE487" s="98"/>
      <c r="AF487" s="98"/>
      <c r="AG487" s="98"/>
      <c r="AH487" s="98"/>
      <c r="AI487" s="98"/>
      <c r="AJ487" s="98"/>
      <c r="AL487" s="95"/>
    </row>
    <row r="488" spans="1:38" x14ac:dyDescent="0.25">
      <c r="A488" s="94">
        <v>901</v>
      </c>
      <c r="B488" s="94" t="s">
        <v>382</v>
      </c>
      <c r="C488" s="94" t="s">
        <v>1284</v>
      </c>
      <c r="D488" s="94" t="s">
        <v>890</v>
      </c>
      <c r="F488" s="97">
        <f>'Jurisdictional Study'!F1398</f>
        <v>2323402.4196050591</v>
      </c>
      <c r="H488" s="98">
        <f>IF(VLOOKUP($D488,$C$5:$AJ$646,6,)=0,0,((VLOOKUP($D488,$C$5:$AJ$646,6,)/VLOOKUP($D488,$C$5:$AJ$646,4,))*$F488))</f>
        <v>0</v>
      </c>
      <c r="I488" s="98">
        <f>IF(VLOOKUP($D488,$C$5:$AJ$646,7,)=0,0,((VLOOKUP($D488,$C$5:$AJ$646,7,)/VLOOKUP($D488,$C$5:$AJ$646,4,))*$F488))</f>
        <v>0</v>
      </c>
      <c r="J488" s="98">
        <f>IF(VLOOKUP($D488,$C$5:$AJ$646,8,)=0,0,((VLOOKUP($D488,$C$5:$AJ$646,8,)/VLOOKUP($D488,$C$5:$AJ$646,4,))*$F488))</f>
        <v>0</v>
      </c>
      <c r="K488" s="98">
        <f>IF(VLOOKUP($D488,$C$5:$AJ$646,9,)=0,0,((VLOOKUP($D488,$C$5:$AJ$646,9,)/VLOOKUP($D488,$C$5:$AJ$646,4,))*$F488))</f>
        <v>0</v>
      </c>
      <c r="L488" s="98">
        <f>IF(VLOOKUP($D488,$C$5:$AJ$646,10,)=0,0,((VLOOKUP($D488,$C$5:$AJ$646,10,)/VLOOKUP($D488,$C$5:$AJ$646,4,))*$F488))</f>
        <v>0</v>
      </c>
      <c r="M488" s="98">
        <f>IF(VLOOKUP($D488,$C$5:$AJ$646,11,)=0,0,((VLOOKUP($D488,$C$5:$AJ$646,11,)/VLOOKUP($D488,$C$5:$AJ$646,4,))*$F488))</f>
        <v>0</v>
      </c>
      <c r="N488" s="98"/>
      <c r="O488" s="98">
        <f>IF(VLOOKUP($D488,$C$5:$AJ$646,13,)=0,0,((VLOOKUP($D488,$C$5:$AJ$646,13,)/VLOOKUP($D488,$C$5:$AJ$646,4,))*$F488))</f>
        <v>0</v>
      </c>
      <c r="P488" s="98">
        <f>IF(VLOOKUP($D488,$C$5:$AJ$646,14,)=0,0,((VLOOKUP($D488,$C$5:$AJ$646,14,)/VLOOKUP($D488,$C$5:$AJ$646,4,))*$F488))</f>
        <v>0</v>
      </c>
      <c r="Q488" s="98">
        <f>IF(VLOOKUP($D488,$C$5:$AJ$646,15,)=0,0,((VLOOKUP($D488,$C$5:$AJ$646,15,)/VLOOKUP($D488,$C$5:$AJ$646,4,))*$F488))</f>
        <v>0</v>
      </c>
      <c r="R488" s="98"/>
      <c r="S488" s="98">
        <f>IF(VLOOKUP($D488,$C$5:$AJ$646,17,)=0,0,((VLOOKUP($D488,$C$5:$AJ$646,17,)/VLOOKUP($D488,$C$5:$AJ$646,4,))*$F488))</f>
        <v>0</v>
      </c>
      <c r="T488" s="98">
        <f>IF(VLOOKUP($D488,$C$5:$AJ$646,18,)=0,0,((VLOOKUP($D488,$C$5:$AJ$646,18,)/VLOOKUP($D488,$C$5:$AJ$646,4,))*$F488))</f>
        <v>0</v>
      </c>
      <c r="U488" s="98">
        <f>IF(VLOOKUP($D488,$C$5:$AJ$646,19,)=0,0,((VLOOKUP($D488,$C$5:$AJ$646,19,)/VLOOKUP($D488,$C$5:$AJ$646,4,))*$F488))</f>
        <v>0</v>
      </c>
      <c r="V488" s="98">
        <f>IF(VLOOKUP($D488,$C$5:$AJ$646,20,)=0,0,((VLOOKUP($D488,$C$5:$AJ$646,20,)/VLOOKUP($D488,$C$5:$AJ$646,4,))*$F488))</f>
        <v>0</v>
      </c>
      <c r="W488" s="98">
        <f>IF(VLOOKUP($D488,$C$5:$AJ$646,21,)=0,0,((VLOOKUP($D488,$C$5:$AJ$646,21,)/VLOOKUP($D488,$C$5:$AJ$646,4,))*$F488))</f>
        <v>0</v>
      </c>
      <c r="X488" s="98">
        <f>IF(VLOOKUP($D488,$C$5:$AJ$646,22,)=0,0,((VLOOKUP($D488,$C$5:$AJ$646,22,)/VLOOKUP($D488,$C$5:$AJ$646,4,))*$F488))</f>
        <v>0</v>
      </c>
      <c r="Y488" s="98">
        <f>IF(VLOOKUP($D488,$C$5:$AJ$646,23,)=0,0,((VLOOKUP($D488,$C$5:$AJ$646,23,)/VLOOKUP($D488,$C$5:$AJ$646,4,))*$F488))</f>
        <v>0</v>
      </c>
      <c r="Z488" s="98">
        <f>IF(VLOOKUP($D488,$C$5:$AJ$646,24,)=0,0,((VLOOKUP($D488,$C$5:$AJ$646,24,)/VLOOKUP($D488,$C$5:$AJ$646,4,))*$F488))</f>
        <v>0</v>
      </c>
      <c r="AA488" s="98">
        <f>IF(VLOOKUP($D488,$C$5:$AJ$646,25,)=0,0,((VLOOKUP($D488,$C$5:$AJ$646,25,)/VLOOKUP($D488,$C$5:$AJ$646,4,))*$F488))</f>
        <v>0</v>
      </c>
      <c r="AB488" s="98">
        <f>IF(VLOOKUP($D488,$C$5:$AJ$646,26,)=0,0,((VLOOKUP($D488,$C$5:$AJ$646,26,)/VLOOKUP($D488,$C$5:$AJ$646,4,))*$F488))</f>
        <v>0</v>
      </c>
      <c r="AC488" s="98">
        <f>IF(VLOOKUP($D488,$C$5:$AJ$646,27,)=0,0,((VLOOKUP($D488,$C$5:$AJ$646,27,)/VLOOKUP($D488,$C$5:$AJ$646,4,))*$F488))</f>
        <v>0</v>
      </c>
      <c r="AD488" s="98">
        <f>IF(VLOOKUP($D488,$C$5:$AJ$646,28,)=0,0,((VLOOKUP($D488,$C$5:$AJ$646,28,)/VLOOKUP($D488,$C$5:$AJ$646,4,))*$F488))</f>
        <v>0</v>
      </c>
      <c r="AE488" s="98"/>
      <c r="AF488" s="98">
        <f>IF(VLOOKUP($D488,$C$5:$AJ$646,30,)=0,0,((VLOOKUP($D488,$C$5:$AJ$646,30,)/VLOOKUP($D488,$C$5:$AJ$646,4,))*$F488))</f>
        <v>2323402.4196050591</v>
      </c>
      <c r="AG488" s="98"/>
      <c r="AH488" s="98">
        <f>IF(VLOOKUP($D488,$C$5:$AJ$646,32,)=0,0,((VLOOKUP($D488,$C$5:$AJ$646,32,)/VLOOKUP($D488,$C$5:$AJ$646,4,))*$F488))</f>
        <v>0</v>
      </c>
      <c r="AI488" s="98"/>
      <c r="AJ488" s="98">
        <f>IF(VLOOKUP($D488,$C$5:$AJ$646,34,)=0,0,((VLOOKUP($D488,$C$5:$AJ$646,34,)/VLOOKUP($D488,$C$5:$AJ$646,4,))*$F488))</f>
        <v>0</v>
      </c>
      <c r="AK488" s="98">
        <f>SUM(H488:AJ488)</f>
        <v>2323402.4196050591</v>
      </c>
      <c r="AL488" s="95" t="str">
        <f>IF(ABS(AK488-F488)&lt;1,"ok","err")</f>
        <v>ok</v>
      </c>
    </row>
    <row r="489" spans="1:38" x14ac:dyDescent="0.25">
      <c r="A489" s="94">
        <v>902</v>
      </c>
      <c r="B489" s="94" t="s">
        <v>385</v>
      </c>
      <c r="C489" s="94" t="s">
        <v>1285</v>
      </c>
      <c r="D489" s="94" t="s">
        <v>890</v>
      </c>
      <c r="F489" s="98">
        <f>'Jurisdictional Study'!F1399</f>
        <v>270538.25537751394</v>
      </c>
      <c r="H489" s="98">
        <f>IF(VLOOKUP($D489,$C$5:$AJ$646,6,)=0,0,((VLOOKUP($D489,$C$5:$AJ$646,6,)/VLOOKUP($D489,$C$5:$AJ$646,4,))*$F489))</f>
        <v>0</v>
      </c>
      <c r="I489" s="98">
        <f>IF(VLOOKUP($D489,$C$5:$AJ$646,7,)=0,0,((VLOOKUP($D489,$C$5:$AJ$646,7,)/VLOOKUP($D489,$C$5:$AJ$646,4,))*$F489))</f>
        <v>0</v>
      </c>
      <c r="J489" s="98">
        <f>IF(VLOOKUP($D489,$C$5:$AJ$646,8,)=0,0,((VLOOKUP($D489,$C$5:$AJ$646,8,)/VLOOKUP($D489,$C$5:$AJ$646,4,))*$F489))</f>
        <v>0</v>
      </c>
      <c r="K489" s="98">
        <f>IF(VLOOKUP($D489,$C$5:$AJ$646,9,)=0,0,((VLOOKUP($D489,$C$5:$AJ$646,9,)/VLOOKUP($D489,$C$5:$AJ$646,4,))*$F489))</f>
        <v>0</v>
      </c>
      <c r="L489" s="98">
        <f>IF(VLOOKUP($D489,$C$5:$AJ$646,10,)=0,0,((VLOOKUP($D489,$C$5:$AJ$646,10,)/VLOOKUP($D489,$C$5:$AJ$646,4,))*$F489))</f>
        <v>0</v>
      </c>
      <c r="M489" s="98">
        <f>IF(VLOOKUP($D489,$C$5:$AJ$646,11,)=0,0,((VLOOKUP($D489,$C$5:$AJ$646,11,)/VLOOKUP($D489,$C$5:$AJ$646,4,))*$F489))</f>
        <v>0</v>
      </c>
      <c r="N489" s="98"/>
      <c r="O489" s="98">
        <f>IF(VLOOKUP($D489,$C$5:$AJ$646,13,)=0,0,((VLOOKUP($D489,$C$5:$AJ$646,13,)/VLOOKUP($D489,$C$5:$AJ$646,4,))*$F489))</f>
        <v>0</v>
      </c>
      <c r="P489" s="98">
        <f>IF(VLOOKUP($D489,$C$5:$AJ$646,14,)=0,0,((VLOOKUP($D489,$C$5:$AJ$646,14,)/VLOOKUP($D489,$C$5:$AJ$646,4,))*$F489))</f>
        <v>0</v>
      </c>
      <c r="Q489" s="98">
        <f>IF(VLOOKUP($D489,$C$5:$AJ$646,15,)=0,0,((VLOOKUP($D489,$C$5:$AJ$646,15,)/VLOOKUP($D489,$C$5:$AJ$646,4,))*$F489))</f>
        <v>0</v>
      </c>
      <c r="R489" s="98"/>
      <c r="S489" s="98">
        <f>IF(VLOOKUP($D489,$C$5:$AJ$646,17,)=0,0,((VLOOKUP($D489,$C$5:$AJ$646,17,)/VLOOKUP($D489,$C$5:$AJ$646,4,))*$F489))</f>
        <v>0</v>
      </c>
      <c r="T489" s="98">
        <f>IF(VLOOKUP($D489,$C$5:$AJ$646,18,)=0,0,((VLOOKUP($D489,$C$5:$AJ$646,18,)/VLOOKUP($D489,$C$5:$AJ$646,4,))*$F489))</f>
        <v>0</v>
      </c>
      <c r="U489" s="98">
        <f>IF(VLOOKUP($D489,$C$5:$AJ$646,19,)=0,0,((VLOOKUP($D489,$C$5:$AJ$646,19,)/VLOOKUP($D489,$C$5:$AJ$646,4,))*$F489))</f>
        <v>0</v>
      </c>
      <c r="V489" s="98">
        <f>IF(VLOOKUP($D489,$C$5:$AJ$646,20,)=0,0,((VLOOKUP($D489,$C$5:$AJ$646,20,)/VLOOKUP($D489,$C$5:$AJ$646,4,))*$F489))</f>
        <v>0</v>
      </c>
      <c r="W489" s="98">
        <f>IF(VLOOKUP($D489,$C$5:$AJ$646,21,)=0,0,((VLOOKUP($D489,$C$5:$AJ$646,21,)/VLOOKUP($D489,$C$5:$AJ$646,4,))*$F489))</f>
        <v>0</v>
      </c>
      <c r="X489" s="98">
        <f>IF(VLOOKUP($D489,$C$5:$AJ$646,22,)=0,0,((VLOOKUP($D489,$C$5:$AJ$646,22,)/VLOOKUP($D489,$C$5:$AJ$646,4,))*$F489))</f>
        <v>0</v>
      </c>
      <c r="Y489" s="98">
        <f>IF(VLOOKUP($D489,$C$5:$AJ$646,23,)=0,0,((VLOOKUP($D489,$C$5:$AJ$646,23,)/VLOOKUP($D489,$C$5:$AJ$646,4,))*$F489))</f>
        <v>0</v>
      </c>
      <c r="Z489" s="98">
        <f>IF(VLOOKUP($D489,$C$5:$AJ$646,24,)=0,0,((VLOOKUP($D489,$C$5:$AJ$646,24,)/VLOOKUP($D489,$C$5:$AJ$646,4,))*$F489))</f>
        <v>0</v>
      </c>
      <c r="AA489" s="98">
        <f>IF(VLOOKUP($D489,$C$5:$AJ$646,25,)=0,0,((VLOOKUP($D489,$C$5:$AJ$646,25,)/VLOOKUP($D489,$C$5:$AJ$646,4,))*$F489))</f>
        <v>0</v>
      </c>
      <c r="AB489" s="98">
        <f>IF(VLOOKUP($D489,$C$5:$AJ$646,26,)=0,0,((VLOOKUP($D489,$C$5:$AJ$646,26,)/VLOOKUP($D489,$C$5:$AJ$646,4,))*$F489))</f>
        <v>0</v>
      </c>
      <c r="AC489" s="98">
        <f>IF(VLOOKUP($D489,$C$5:$AJ$646,27,)=0,0,((VLOOKUP($D489,$C$5:$AJ$646,27,)/VLOOKUP($D489,$C$5:$AJ$646,4,))*$F489))</f>
        <v>0</v>
      </c>
      <c r="AD489" s="98">
        <f>IF(VLOOKUP($D489,$C$5:$AJ$646,28,)=0,0,((VLOOKUP($D489,$C$5:$AJ$646,28,)/VLOOKUP($D489,$C$5:$AJ$646,4,))*$F489))</f>
        <v>0</v>
      </c>
      <c r="AE489" s="98"/>
      <c r="AF489" s="98">
        <f>IF(VLOOKUP($D489,$C$5:$AJ$646,30,)=0,0,((VLOOKUP($D489,$C$5:$AJ$646,30,)/VLOOKUP($D489,$C$5:$AJ$646,4,))*$F489))</f>
        <v>270538.25537751394</v>
      </c>
      <c r="AG489" s="98"/>
      <c r="AH489" s="98">
        <f>IF(VLOOKUP($D489,$C$5:$AJ$646,32,)=0,0,((VLOOKUP($D489,$C$5:$AJ$646,32,)/VLOOKUP($D489,$C$5:$AJ$646,4,))*$F489))</f>
        <v>0</v>
      </c>
      <c r="AI489" s="98"/>
      <c r="AJ489" s="98">
        <f>IF(VLOOKUP($D489,$C$5:$AJ$646,34,)=0,0,((VLOOKUP($D489,$C$5:$AJ$646,34,)/VLOOKUP($D489,$C$5:$AJ$646,4,))*$F489))</f>
        <v>0</v>
      </c>
      <c r="AK489" s="98">
        <f>SUM(H489:AJ489)</f>
        <v>270538.25537751394</v>
      </c>
      <c r="AL489" s="95" t="str">
        <f>IF(ABS(AK489-F489)&lt;1,"ok","err")</f>
        <v>ok</v>
      </c>
    </row>
    <row r="490" spans="1:38" x14ac:dyDescent="0.25">
      <c r="A490" s="94">
        <v>903</v>
      </c>
      <c r="B490" s="94" t="s">
        <v>1714</v>
      </c>
      <c r="C490" s="94" t="s">
        <v>1286</v>
      </c>
      <c r="D490" s="94" t="s">
        <v>890</v>
      </c>
      <c r="F490" s="98">
        <f>'Jurisdictional Study'!F1400</f>
        <v>8203409.5159106404</v>
      </c>
      <c r="H490" s="98">
        <f>IF(VLOOKUP($D490,$C$5:$AJ$646,6,)=0,0,((VLOOKUP($D490,$C$5:$AJ$646,6,)/VLOOKUP($D490,$C$5:$AJ$646,4,))*$F490))</f>
        <v>0</v>
      </c>
      <c r="I490" s="98">
        <f>IF(VLOOKUP($D490,$C$5:$AJ$646,7,)=0,0,((VLOOKUP($D490,$C$5:$AJ$646,7,)/VLOOKUP($D490,$C$5:$AJ$646,4,))*$F490))</f>
        <v>0</v>
      </c>
      <c r="J490" s="98">
        <f>IF(VLOOKUP($D490,$C$5:$AJ$646,8,)=0,0,((VLOOKUP($D490,$C$5:$AJ$646,8,)/VLOOKUP($D490,$C$5:$AJ$646,4,))*$F490))</f>
        <v>0</v>
      </c>
      <c r="K490" s="98">
        <f>IF(VLOOKUP($D490,$C$5:$AJ$646,9,)=0,0,((VLOOKUP($D490,$C$5:$AJ$646,9,)/VLOOKUP($D490,$C$5:$AJ$646,4,))*$F490))</f>
        <v>0</v>
      </c>
      <c r="L490" s="98">
        <f>IF(VLOOKUP($D490,$C$5:$AJ$646,10,)=0,0,((VLOOKUP($D490,$C$5:$AJ$646,10,)/VLOOKUP($D490,$C$5:$AJ$646,4,))*$F490))</f>
        <v>0</v>
      </c>
      <c r="M490" s="98">
        <f>IF(VLOOKUP($D490,$C$5:$AJ$646,11,)=0,0,((VLOOKUP($D490,$C$5:$AJ$646,11,)/VLOOKUP($D490,$C$5:$AJ$646,4,))*$F490))</f>
        <v>0</v>
      </c>
      <c r="N490" s="98"/>
      <c r="O490" s="98">
        <f>IF(VLOOKUP($D490,$C$5:$AJ$646,13,)=0,0,((VLOOKUP($D490,$C$5:$AJ$646,13,)/VLOOKUP($D490,$C$5:$AJ$646,4,))*$F490))</f>
        <v>0</v>
      </c>
      <c r="P490" s="98">
        <f>IF(VLOOKUP($D490,$C$5:$AJ$646,14,)=0,0,((VLOOKUP($D490,$C$5:$AJ$646,14,)/VLOOKUP($D490,$C$5:$AJ$646,4,))*$F490))</f>
        <v>0</v>
      </c>
      <c r="Q490" s="98">
        <f>IF(VLOOKUP($D490,$C$5:$AJ$646,15,)=0,0,((VLOOKUP($D490,$C$5:$AJ$646,15,)/VLOOKUP($D490,$C$5:$AJ$646,4,))*$F490))</f>
        <v>0</v>
      </c>
      <c r="R490" s="98"/>
      <c r="S490" s="98">
        <f>IF(VLOOKUP($D490,$C$5:$AJ$646,17,)=0,0,((VLOOKUP($D490,$C$5:$AJ$646,17,)/VLOOKUP($D490,$C$5:$AJ$646,4,))*$F490))</f>
        <v>0</v>
      </c>
      <c r="T490" s="98">
        <f>IF(VLOOKUP($D490,$C$5:$AJ$646,18,)=0,0,((VLOOKUP($D490,$C$5:$AJ$646,18,)/VLOOKUP($D490,$C$5:$AJ$646,4,))*$F490))</f>
        <v>0</v>
      </c>
      <c r="U490" s="98">
        <f>IF(VLOOKUP($D490,$C$5:$AJ$646,19,)=0,0,((VLOOKUP($D490,$C$5:$AJ$646,19,)/VLOOKUP($D490,$C$5:$AJ$646,4,))*$F490))</f>
        <v>0</v>
      </c>
      <c r="V490" s="98">
        <f>IF(VLOOKUP($D490,$C$5:$AJ$646,20,)=0,0,((VLOOKUP($D490,$C$5:$AJ$646,20,)/VLOOKUP($D490,$C$5:$AJ$646,4,))*$F490))</f>
        <v>0</v>
      </c>
      <c r="W490" s="98">
        <f>IF(VLOOKUP($D490,$C$5:$AJ$646,21,)=0,0,((VLOOKUP($D490,$C$5:$AJ$646,21,)/VLOOKUP($D490,$C$5:$AJ$646,4,))*$F490))</f>
        <v>0</v>
      </c>
      <c r="X490" s="98">
        <f>IF(VLOOKUP($D490,$C$5:$AJ$646,22,)=0,0,((VLOOKUP($D490,$C$5:$AJ$646,22,)/VLOOKUP($D490,$C$5:$AJ$646,4,))*$F490))</f>
        <v>0</v>
      </c>
      <c r="Y490" s="98">
        <f>IF(VLOOKUP($D490,$C$5:$AJ$646,23,)=0,0,((VLOOKUP($D490,$C$5:$AJ$646,23,)/VLOOKUP($D490,$C$5:$AJ$646,4,))*$F490))</f>
        <v>0</v>
      </c>
      <c r="Z490" s="98">
        <f>IF(VLOOKUP($D490,$C$5:$AJ$646,24,)=0,0,((VLOOKUP($D490,$C$5:$AJ$646,24,)/VLOOKUP($D490,$C$5:$AJ$646,4,))*$F490))</f>
        <v>0</v>
      </c>
      <c r="AA490" s="98">
        <f>IF(VLOOKUP($D490,$C$5:$AJ$646,25,)=0,0,((VLOOKUP($D490,$C$5:$AJ$646,25,)/VLOOKUP($D490,$C$5:$AJ$646,4,))*$F490))</f>
        <v>0</v>
      </c>
      <c r="AB490" s="98">
        <f>IF(VLOOKUP($D490,$C$5:$AJ$646,26,)=0,0,((VLOOKUP($D490,$C$5:$AJ$646,26,)/VLOOKUP($D490,$C$5:$AJ$646,4,))*$F490))</f>
        <v>0</v>
      </c>
      <c r="AC490" s="98">
        <f>IF(VLOOKUP($D490,$C$5:$AJ$646,27,)=0,0,((VLOOKUP($D490,$C$5:$AJ$646,27,)/VLOOKUP($D490,$C$5:$AJ$646,4,))*$F490))</f>
        <v>0</v>
      </c>
      <c r="AD490" s="98">
        <f>IF(VLOOKUP($D490,$C$5:$AJ$646,28,)=0,0,((VLOOKUP($D490,$C$5:$AJ$646,28,)/VLOOKUP($D490,$C$5:$AJ$646,4,))*$F490))</f>
        <v>0</v>
      </c>
      <c r="AE490" s="98"/>
      <c r="AF490" s="98">
        <f>IF(VLOOKUP($D490,$C$5:$AJ$646,30,)=0,0,((VLOOKUP($D490,$C$5:$AJ$646,30,)/VLOOKUP($D490,$C$5:$AJ$646,4,))*$F490))</f>
        <v>8203409.5159106404</v>
      </c>
      <c r="AG490" s="98"/>
      <c r="AH490" s="98">
        <f>IF(VLOOKUP($D490,$C$5:$AJ$646,32,)=0,0,((VLOOKUP($D490,$C$5:$AJ$646,32,)/VLOOKUP($D490,$C$5:$AJ$646,4,))*$F490))</f>
        <v>0</v>
      </c>
      <c r="AI490" s="98"/>
      <c r="AJ490" s="98">
        <f>IF(VLOOKUP($D490,$C$5:$AJ$646,34,)=0,0,((VLOOKUP($D490,$C$5:$AJ$646,34,)/VLOOKUP($D490,$C$5:$AJ$646,4,))*$F490))</f>
        <v>0</v>
      </c>
      <c r="AK490" s="98">
        <f>SUM(H490:AJ490)</f>
        <v>8203409.5159106404</v>
      </c>
      <c r="AL490" s="95" t="str">
        <f>IF(ABS(AK490-F490)&lt;1,"ok","err")</f>
        <v>ok</v>
      </c>
    </row>
    <row r="491" spans="1:38" x14ac:dyDescent="0.25">
      <c r="A491" s="94">
        <v>904</v>
      </c>
      <c r="B491" s="94" t="s">
        <v>388</v>
      </c>
      <c r="C491" s="94" t="s">
        <v>1287</v>
      </c>
      <c r="D491" s="94" t="s">
        <v>890</v>
      </c>
      <c r="F491" s="98">
        <f>'Jurisdictional Study'!F1401</f>
        <v>0</v>
      </c>
      <c r="H491" s="98">
        <f>IF(VLOOKUP($D491,$C$5:$AJ$646,6,)=0,0,((VLOOKUP($D491,$C$5:$AJ$646,6,)/VLOOKUP($D491,$C$5:$AJ$646,4,))*$F491))</f>
        <v>0</v>
      </c>
      <c r="I491" s="98">
        <f>IF(VLOOKUP($D491,$C$5:$AJ$646,7,)=0,0,((VLOOKUP($D491,$C$5:$AJ$646,7,)/VLOOKUP($D491,$C$5:$AJ$646,4,))*$F491))</f>
        <v>0</v>
      </c>
      <c r="J491" s="98">
        <f>IF(VLOOKUP($D491,$C$5:$AJ$646,8,)=0,0,((VLOOKUP($D491,$C$5:$AJ$646,8,)/VLOOKUP($D491,$C$5:$AJ$646,4,))*$F491))</f>
        <v>0</v>
      </c>
      <c r="K491" s="98">
        <f>IF(VLOOKUP($D491,$C$5:$AJ$646,9,)=0,0,((VLOOKUP($D491,$C$5:$AJ$646,9,)/VLOOKUP($D491,$C$5:$AJ$646,4,))*$F491))</f>
        <v>0</v>
      </c>
      <c r="L491" s="98">
        <f>IF(VLOOKUP($D491,$C$5:$AJ$646,10,)=0,0,((VLOOKUP($D491,$C$5:$AJ$646,10,)/VLOOKUP($D491,$C$5:$AJ$646,4,))*$F491))</f>
        <v>0</v>
      </c>
      <c r="M491" s="98">
        <f>IF(VLOOKUP($D491,$C$5:$AJ$646,11,)=0,0,((VLOOKUP($D491,$C$5:$AJ$646,11,)/VLOOKUP($D491,$C$5:$AJ$646,4,))*$F491))</f>
        <v>0</v>
      </c>
      <c r="N491" s="98"/>
      <c r="O491" s="98">
        <f>IF(VLOOKUP($D491,$C$5:$AJ$646,13,)=0,0,((VLOOKUP($D491,$C$5:$AJ$646,13,)/VLOOKUP($D491,$C$5:$AJ$646,4,))*$F491))</f>
        <v>0</v>
      </c>
      <c r="P491" s="98">
        <f>IF(VLOOKUP($D491,$C$5:$AJ$646,14,)=0,0,((VLOOKUP($D491,$C$5:$AJ$646,14,)/VLOOKUP($D491,$C$5:$AJ$646,4,))*$F491))</f>
        <v>0</v>
      </c>
      <c r="Q491" s="98">
        <f>IF(VLOOKUP($D491,$C$5:$AJ$646,15,)=0,0,((VLOOKUP($D491,$C$5:$AJ$646,15,)/VLOOKUP($D491,$C$5:$AJ$646,4,))*$F491))</f>
        <v>0</v>
      </c>
      <c r="R491" s="98"/>
      <c r="S491" s="98">
        <f>IF(VLOOKUP($D491,$C$5:$AJ$646,17,)=0,0,((VLOOKUP($D491,$C$5:$AJ$646,17,)/VLOOKUP($D491,$C$5:$AJ$646,4,))*$F491))</f>
        <v>0</v>
      </c>
      <c r="T491" s="98">
        <f>IF(VLOOKUP($D491,$C$5:$AJ$646,18,)=0,0,((VLOOKUP($D491,$C$5:$AJ$646,18,)/VLOOKUP($D491,$C$5:$AJ$646,4,))*$F491))</f>
        <v>0</v>
      </c>
      <c r="U491" s="98">
        <f>IF(VLOOKUP($D491,$C$5:$AJ$646,19,)=0,0,((VLOOKUP($D491,$C$5:$AJ$646,19,)/VLOOKUP($D491,$C$5:$AJ$646,4,))*$F491))</f>
        <v>0</v>
      </c>
      <c r="V491" s="98">
        <f>IF(VLOOKUP($D491,$C$5:$AJ$646,20,)=0,0,((VLOOKUP($D491,$C$5:$AJ$646,20,)/VLOOKUP($D491,$C$5:$AJ$646,4,))*$F491))</f>
        <v>0</v>
      </c>
      <c r="W491" s="98">
        <f>IF(VLOOKUP($D491,$C$5:$AJ$646,21,)=0,0,((VLOOKUP($D491,$C$5:$AJ$646,21,)/VLOOKUP($D491,$C$5:$AJ$646,4,))*$F491))</f>
        <v>0</v>
      </c>
      <c r="X491" s="98">
        <f>IF(VLOOKUP($D491,$C$5:$AJ$646,22,)=0,0,((VLOOKUP($D491,$C$5:$AJ$646,22,)/VLOOKUP($D491,$C$5:$AJ$646,4,))*$F491))</f>
        <v>0</v>
      </c>
      <c r="Y491" s="98">
        <f>IF(VLOOKUP($D491,$C$5:$AJ$646,23,)=0,0,((VLOOKUP($D491,$C$5:$AJ$646,23,)/VLOOKUP($D491,$C$5:$AJ$646,4,))*$F491))</f>
        <v>0</v>
      </c>
      <c r="Z491" s="98">
        <f>IF(VLOOKUP($D491,$C$5:$AJ$646,24,)=0,0,((VLOOKUP($D491,$C$5:$AJ$646,24,)/VLOOKUP($D491,$C$5:$AJ$646,4,))*$F491))</f>
        <v>0</v>
      </c>
      <c r="AA491" s="98">
        <f>IF(VLOOKUP($D491,$C$5:$AJ$646,25,)=0,0,((VLOOKUP($D491,$C$5:$AJ$646,25,)/VLOOKUP($D491,$C$5:$AJ$646,4,))*$F491))</f>
        <v>0</v>
      </c>
      <c r="AB491" s="98">
        <f>IF(VLOOKUP($D491,$C$5:$AJ$646,26,)=0,0,((VLOOKUP($D491,$C$5:$AJ$646,26,)/VLOOKUP($D491,$C$5:$AJ$646,4,))*$F491))</f>
        <v>0</v>
      </c>
      <c r="AC491" s="98">
        <f>IF(VLOOKUP($D491,$C$5:$AJ$646,27,)=0,0,((VLOOKUP($D491,$C$5:$AJ$646,27,)/VLOOKUP($D491,$C$5:$AJ$646,4,))*$F491))</f>
        <v>0</v>
      </c>
      <c r="AD491" s="98">
        <f>IF(VLOOKUP($D491,$C$5:$AJ$646,28,)=0,0,((VLOOKUP($D491,$C$5:$AJ$646,28,)/VLOOKUP($D491,$C$5:$AJ$646,4,))*$F491))</f>
        <v>0</v>
      </c>
      <c r="AE491" s="98"/>
      <c r="AF491" s="98">
        <f>IF(VLOOKUP($D491,$C$5:$AJ$646,30,)=0,0,((VLOOKUP($D491,$C$5:$AJ$646,30,)/VLOOKUP($D491,$C$5:$AJ$646,4,))*$F491))</f>
        <v>0</v>
      </c>
      <c r="AG491" s="98"/>
      <c r="AH491" s="98">
        <f>IF(VLOOKUP($D491,$C$5:$AJ$646,32,)=0,0,((VLOOKUP($D491,$C$5:$AJ$646,32,)/VLOOKUP($D491,$C$5:$AJ$646,4,))*$F491))</f>
        <v>0</v>
      </c>
      <c r="AI491" s="98"/>
      <c r="AJ491" s="98">
        <f>IF(VLOOKUP($D491,$C$5:$AJ$646,34,)=0,0,((VLOOKUP($D491,$C$5:$AJ$646,34,)/VLOOKUP($D491,$C$5:$AJ$646,4,))*$F491))</f>
        <v>0</v>
      </c>
      <c r="AK491" s="98">
        <f>SUM(H491:AJ491)</f>
        <v>0</v>
      </c>
      <c r="AL491" s="95" t="str">
        <f>IF(ABS(AK491-F491)&lt;1,"ok","err")</f>
        <v>ok</v>
      </c>
    </row>
    <row r="492" spans="1:38" x14ac:dyDescent="0.25">
      <c r="A492" s="94">
        <v>905</v>
      </c>
      <c r="B492" s="94" t="s">
        <v>1715</v>
      </c>
      <c r="C492" s="94" t="s">
        <v>1286</v>
      </c>
      <c r="D492" s="94" t="s">
        <v>890</v>
      </c>
      <c r="F492" s="98">
        <f>'Jurisdictional Study'!F1402</f>
        <v>426247.224520105</v>
      </c>
      <c r="H492" s="98">
        <f>IF(VLOOKUP($D492,$C$5:$AJ$646,6,)=0,0,((VLOOKUP($D492,$C$5:$AJ$646,6,)/VLOOKUP($D492,$C$5:$AJ$646,4,))*$F492))</f>
        <v>0</v>
      </c>
      <c r="I492" s="98">
        <f>IF(VLOOKUP($D492,$C$5:$AJ$646,7,)=0,0,((VLOOKUP($D492,$C$5:$AJ$646,7,)/VLOOKUP($D492,$C$5:$AJ$646,4,))*$F492))</f>
        <v>0</v>
      </c>
      <c r="J492" s="98">
        <f>IF(VLOOKUP($D492,$C$5:$AJ$646,8,)=0,0,((VLOOKUP($D492,$C$5:$AJ$646,8,)/VLOOKUP($D492,$C$5:$AJ$646,4,))*$F492))</f>
        <v>0</v>
      </c>
      <c r="K492" s="98">
        <f>IF(VLOOKUP($D492,$C$5:$AJ$646,9,)=0,0,((VLOOKUP($D492,$C$5:$AJ$646,9,)/VLOOKUP($D492,$C$5:$AJ$646,4,))*$F492))</f>
        <v>0</v>
      </c>
      <c r="L492" s="98">
        <f>IF(VLOOKUP($D492,$C$5:$AJ$646,10,)=0,0,((VLOOKUP($D492,$C$5:$AJ$646,10,)/VLOOKUP($D492,$C$5:$AJ$646,4,))*$F492))</f>
        <v>0</v>
      </c>
      <c r="M492" s="98">
        <f>IF(VLOOKUP($D492,$C$5:$AJ$646,11,)=0,0,((VLOOKUP($D492,$C$5:$AJ$646,11,)/VLOOKUP($D492,$C$5:$AJ$646,4,))*$F492))</f>
        <v>0</v>
      </c>
      <c r="N492" s="98"/>
      <c r="O492" s="98">
        <f>IF(VLOOKUP($D492,$C$5:$AJ$646,13,)=0,0,((VLOOKUP($D492,$C$5:$AJ$646,13,)/VLOOKUP($D492,$C$5:$AJ$646,4,))*$F492))</f>
        <v>0</v>
      </c>
      <c r="P492" s="98">
        <f>IF(VLOOKUP($D492,$C$5:$AJ$646,14,)=0,0,((VLOOKUP($D492,$C$5:$AJ$646,14,)/VLOOKUP($D492,$C$5:$AJ$646,4,))*$F492))</f>
        <v>0</v>
      </c>
      <c r="Q492" s="98">
        <f>IF(VLOOKUP($D492,$C$5:$AJ$646,15,)=0,0,((VLOOKUP($D492,$C$5:$AJ$646,15,)/VLOOKUP($D492,$C$5:$AJ$646,4,))*$F492))</f>
        <v>0</v>
      </c>
      <c r="R492" s="98"/>
      <c r="S492" s="98">
        <f>IF(VLOOKUP($D492,$C$5:$AJ$646,17,)=0,0,((VLOOKUP($D492,$C$5:$AJ$646,17,)/VLOOKUP($D492,$C$5:$AJ$646,4,))*$F492))</f>
        <v>0</v>
      </c>
      <c r="T492" s="98">
        <f>IF(VLOOKUP($D492,$C$5:$AJ$646,18,)=0,0,((VLOOKUP($D492,$C$5:$AJ$646,18,)/VLOOKUP($D492,$C$5:$AJ$646,4,))*$F492))</f>
        <v>0</v>
      </c>
      <c r="U492" s="98">
        <f>IF(VLOOKUP($D492,$C$5:$AJ$646,19,)=0,0,((VLOOKUP($D492,$C$5:$AJ$646,19,)/VLOOKUP($D492,$C$5:$AJ$646,4,))*$F492))</f>
        <v>0</v>
      </c>
      <c r="V492" s="98">
        <f>IF(VLOOKUP($D492,$C$5:$AJ$646,20,)=0,0,((VLOOKUP($D492,$C$5:$AJ$646,20,)/VLOOKUP($D492,$C$5:$AJ$646,4,))*$F492))</f>
        <v>0</v>
      </c>
      <c r="W492" s="98">
        <f>IF(VLOOKUP($D492,$C$5:$AJ$646,21,)=0,0,((VLOOKUP($D492,$C$5:$AJ$646,21,)/VLOOKUP($D492,$C$5:$AJ$646,4,))*$F492))</f>
        <v>0</v>
      </c>
      <c r="X492" s="98">
        <f>IF(VLOOKUP($D492,$C$5:$AJ$646,22,)=0,0,((VLOOKUP($D492,$C$5:$AJ$646,22,)/VLOOKUP($D492,$C$5:$AJ$646,4,))*$F492))</f>
        <v>0</v>
      </c>
      <c r="Y492" s="98">
        <f>IF(VLOOKUP($D492,$C$5:$AJ$646,23,)=0,0,((VLOOKUP($D492,$C$5:$AJ$646,23,)/VLOOKUP($D492,$C$5:$AJ$646,4,))*$F492))</f>
        <v>0</v>
      </c>
      <c r="Z492" s="98">
        <f>IF(VLOOKUP($D492,$C$5:$AJ$646,24,)=0,0,((VLOOKUP($D492,$C$5:$AJ$646,24,)/VLOOKUP($D492,$C$5:$AJ$646,4,))*$F492))</f>
        <v>0</v>
      </c>
      <c r="AA492" s="98">
        <f>IF(VLOOKUP($D492,$C$5:$AJ$646,25,)=0,0,((VLOOKUP($D492,$C$5:$AJ$646,25,)/VLOOKUP($D492,$C$5:$AJ$646,4,))*$F492))</f>
        <v>0</v>
      </c>
      <c r="AB492" s="98">
        <f>IF(VLOOKUP($D492,$C$5:$AJ$646,26,)=0,0,((VLOOKUP($D492,$C$5:$AJ$646,26,)/VLOOKUP($D492,$C$5:$AJ$646,4,))*$F492))</f>
        <v>0</v>
      </c>
      <c r="AC492" s="98">
        <f>IF(VLOOKUP($D492,$C$5:$AJ$646,27,)=0,0,((VLOOKUP($D492,$C$5:$AJ$646,27,)/VLOOKUP($D492,$C$5:$AJ$646,4,))*$F492))</f>
        <v>0</v>
      </c>
      <c r="AD492" s="98">
        <f>IF(VLOOKUP($D492,$C$5:$AJ$646,28,)=0,0,((VLOOKUP($D492,$C$5:$AJ$646,28,)/VLOOKUP($D492,$C$5:$AJ$646,4,))*$F492))</f>
        <v>0</v>
      </c>
      <c r="AE492" s="98"/>
      <c r="AF492" s="98">
        <f>IF(VLOOKUP($D492,$C$5:$AJ$646,30,)=0,0,((VLOOKUP($D492,$C$5:$AJ$646,30,)/VLOOKUP($D492,$C$5:$AJ$646,4,))*$F492))</f>
        <v>426247.224520105</v>
      </c>
      <c r="AG492" s="98"/>
      <c r="AH492" s="98">
        <f>IF(VLOOKUP($D492,$C$5:$AJ$646,32,)=0,0,((VLOOKUP($D492,$C$5:$AJ$646,32,)/VLOOKUP($D492,$C$5:$AJ$646,4,))*$F492))</f>
        <v>0</v>
      </c>
      <c r="AI492" s="98"/>
      <c r="AJ492" s="98">
        <f>IF(VLOOKUP($D492,$C$5:$AJ$646,34,)=0,0,((VLOOKUP($D492,$C$5:$AJ$646,34,)/VLOOKUP($D492,$C$5:$AJ$646,4,))*$F492))</f>
        <v>0</v>
      </c>
      <c r="AK492" s="98">
        <f>SUM(H492:AJ492)</f>
        <v>426247.224520105</v>
      </c>
      <c r="AL492" s="95" t="str">
        <f>IF(ABS(AK492-F492)&lt;1,"ok","err")</f>
        <v>ok</v>
      </c>
    </row>
    <row r="493" spans="1:38" x14ac:dyDescent="0.25">
      <c r="A493" s="16"/>
      <c r="F493" s="98"/>
      <c r="H493" s="98"/>
      <c r="I493" s="98"/>
      <c r="J493" s="98"/>
      <c r="K493" s="98"/>
      <c r="L493" s="98"/>
      <c r="M493" s="98"/>
      <c r="N493" s="98"/>
      <c r="O493" s="98"/>
      <c r="P493" s="98"/>
      <c r="Q493" s="98"/>
      <c r="R493" s="98"/>
      <c r="S493" s="98"/>
      <c r="T493" s="98"/>
      <c r="U493" s="98"/>
      <c r="V493" s="98"/>
      <c r="W493" s="98"/>
      <c r="X493" s="98"/>
      <c r="Y493" s="98"/>
      <c r="Z493" s="98"/>
      <c r="AA493" s="98"/>
      <c r="AB493" s="98"/>
      <c r="AC493" s="98"/>
      <c r="AD493" s="98"/>
      <c r="AE493" s="98"/>
      <c r="AF493" s="98"/>
      <c r="AG493" s="98"/>
      <c r="AH493" s="98"/>
      <c r="AI493" s="98"/>
      <c r="AJ493" s="98"/>
      <c r="AK493" s="98"/>
      <c r="AL493" s="95"/>
    </row>
    <row r="494" spans="1:38" x14ac:dyDescent="0.25">
      <c r="A494" s="94" t="s">
        <v>1322</v>
      </c>
      <c r="C494" s="94" t="s">
        <v>1288</v>
      </c>
      <c r="F494" s="97">
        <f>SUM(F488:F493)</f>
        <v>11223597.41541332</v>
      </c>
      <c r="G494" s="97">
        <f>SUM(G488:G493)</f>
        <v>0</v>
      </c>
      <c r="H494" s="97">
        <f t="shared" ref="H494:M494" si="486">SUM(H488:H493)</f>
        <v>0</v>
      </c>
      <c r="I494" s="97">
        <f t="shared" si="486"/>
        <v>0</v>
      </c>
      <c r="J494" s="97">
        <f t="shared" si="486"/>
        <v>0</v>
      </c>
      <c r="K494" s="97">
        <f t="shared" si="486"/>
        <v>0</v>
      </c>
      <c r="L494" s="97">
        <f t="shared" si="486"/>
        <v>0</v>
      </c>
      <c r="M494" s="97">
        <f t="shared" si="486"/>
        <v>0</v>
      </c>
      <c r="N494" s="98"/>
      <c r="O494" s="97">
        <f>SUM(O488:O493)</f>
        <v>0</v>
      </c>
      <c r="P494" s="97">
        <f>SUM(P488:P493)</f>
        <v>0</v>
      </c>
      <c r="Q494" s="97">
        <f>SUM(Q488:Q493)</f>
        <v>0</v>
      </c>
      <c r="R494" s="98"/>
      <c r="S494" s="97">
        <f t="shared" ref="S494:AJ494" si="487">SUM(S488:S493)</f>
        <v>0</v>
      </c>
      <c r="T494" s="97">
        <f t="shared" si="487"/>
        <v>0</v>
      </c>
      <c r="U494" s="97">
        <f t="shared" si="487"/>
        <v>0</v>
      </c>
      <c r="V494" s="97">
        <f t="shared" si="487"/>
        <v>0</v>
      </c>
      <c r="W494" s="97">
        <f t="shared" si="487"/>
        <v>0</v>
      </c>
      <c r="X494" s="97">
        <f t="shared" si="487"/>
        <v>0</v>
      </c>
      <c r="Y494" s="97">
        <f t="shared" si="487"/>
        <v>0</v>
      </c>
      <c r="Z494" s="97">
        <f t="shared" si="487"/>
        <v>0</v>
      </c>
      <c r="AA494" s="97">
        <f t="shared" si="487"/>
        <v>0</v>
      </c>
      <c r="AB494" s="97">
        <f t="shared" si="487"/>
        <v>0</v>
      </c>
      <c r="AC494" s="97">
        <f t="shared" si="487"/>
        <v>0</v>
      </c>
      <c r="AD494" s="97">
        <f t="shared" si="487"/>
        <v>0</v>
      </c>
      <c r="AE494" s="97"/>
      <c r="AF494" s="97">
        <f t="shared" si="487"/>
        <v>11223597.41541332</v>
      </c>
      <c r="AG494" s="98"/>
      <c r="AH494" s="97">
        <f t="shared" si="487"/>
        <v>0</v>
      </c>
      <c r="AI494" s="98"/>
      <c r="AJ494" s="97">
        <f t="shared" si="487"/>
        <v>0</v>
      </c>
      <c r="AK494" s="98">
        <f>SUM(H494:AJ494)</f>
        <v>11223597.41541332</v>
      </c>
      <c r="AL494" s="95" t="str">
        <f>IF(ABS(AK494-F494)&lt;1,"ok","err")</f>
        <v>ok</v>
      </c>
    </row>
    <row r="495" spans="1:38" x14ac:dyDescent="0.25">
      <c r="F495" s="98"/>
      <c r="H495" s="98"/>
      <c r="I495" s="98"/>
      <c r="J495" s="98"/>
      <c r="K495" s="98"/>
      <c r="L495" s="98"/>
      <c r="M495" s="98"/>
      <c r="N495" s="98"/>
      <c r="O495" s="98"/>
      <c r="P495" s="98"/>
      <c r="Q495" s="98"/>
      <c r="R495" s="98"/>
      <c r="S495" s="98"/>
      <c r="T495" s="98"/>
      <c r="U495" s="98"/>
      <c r="V495" s="98"/>
      <c r="W495" s="98"/>
      <c r="X495" s="98"/>
      <c r="Y495" s="98"/>
      <c r="Z495" s="98"/>
      <c r="AA495" s="98"/>
      <c r="AB495" s="98"/>
      <c r="AC495" s="98"/>
      <c r="AD495" s="98"/>
      <c r="AE495" s="98"/>
      <c r="AF495" s="98"/>
      <c r="AG495" s="98"/>
      <c r="AH495" s="98"/>
      <c r="AI495" s="98"/>
      <c r="AJ495" s="98"/>
      <c r="AL495" s="95"/>
    </row>
    <row r="496" spans="1:38" x14ac:dyDescent="0.25">
      <c r="A496" s="16" t="s">
        <v>392</v>
      </c>
      <c r="F496" s="98"/>
      <c r="H496" s="98"/>
      <c r="I496" s="98"/>
      <c r="J496" s="98"/>
      <c r="K496" s="98"/>
      <c r="L496" s="98"/>
      <c r="M496" s="98"/>
      <c r="N496" s="98"/>
      <c r="O496" s="98"/>
      <c r="P496" s="98"/>
      <c r="Q496" s="98"/>
      <c r="R496" s="98"/>
      <c r="S496" s="98"/>
      <c r="T496" s="98"/>
      <c r="U496" s="98"/>
      <c r="V496" s="98"/>
      <c r="W496" s="98"/>
      <c r="X496" s="98"/>
      <c r="Y496" s="98"/>
      <c r="Z496" s="98"/>
      <c r="AA496" s="98"/>
      <c r="AB496" s="98"/>
      <c r="AC496" s="98"/>
      <c r="AD496" s="98"/>
      <c r="AE496" s="98"/>
      <c r="AF496" s="98"/>
      <c r="AG496" s="98"/>
      <c r="AH496" s="98"/>
      <c r="AI496" s="98"/>
      <c r="AJ496" s="98"/>
      <c r="AL496" s="95"/>
    </row>
    <row r="497" spans="1:38" x14ac:dyDescent="0.25">
      <c r="A497" s="94">
        <v>907</v>
      </c>
      <c r="B497" s="94" t="s">
        <v>580</v>
      </c>
      <c r="C497" s="94" t="s">
        <v>1289</v>
      </c>
      <c r="D497" s="94" t="s">
        <v>891</v>
      </c>
      <c r="F497" s="97">
        <f>'Jurisdictional Study'!F1407</f>
        <v>180380.8167346133</v>
      </c>
      <c r="H497" s="98">
        <f t="shared" ref="H497:H507" si="488">IF(VLOOKUP($D497,$C$5:$AJ$646,6,)=0,0,((VLOOKUP($D497,$C$5:$AJ$646,6,)/VLOOKUP($D497,$C$5:$AJ$646,4,))*$F497))</f>
        <v>0</v>
      </c>
      <c r="I497" s="98">
        <f t="shared" ref="I497:I507" si="489">IF(VLOOKUP($D497,$C$5:$AJ$646,7,)=0,0,((VLOOKUP($D497,$C$5:$AJ$646,7,)/VLOOKUP($D497,$C$5:$AJ$646,4,))*$F497))</f>
        <v>0</v>
      </c>
      <c r="J497" s="98">
        <f t="shared" ref="J497:J507" si="490">IF(VLOOKUP($D497,$C$5:$AJ$646,8,)=0,0,((VLOOKUP($D497,$C$5:$AJ$646,8,)/VLOOKUP($D497,$C$5:$AJ$646,4,))*$F497))</f>
        <v>0</v>
      </c>
      <c r="K497" s="98">
        <f t="shared" ref="K497:K507" si="491">IF(VLOOKUP($D497,$C$5:$AJ$646,9,)=0,0,((VLOOKUP($D497,$C$5:$AJ$646,9,)/VLOOKUP($D497,$C$5:$AJ$646,4,))*$F497))</f>
        <v>0</v>
      </c>
      <c r="L497" s="98">
        <f t="shared" ref="L497:L507" si="492">IF(VLOOKUP($D497,$C$5:$AJ$646,10,)=0,0,((VLOOKUP($D497,$C$5:$AJ$646,10,)/VLOOKUP($D497,$C$5:$AJ$646,4,))*$F497))</f>
        <v>0</v>
      </c>
      <c r="M497" s="98">
        <f t="shared" ref="M497:M507" si="493">IF(VLOOKUP($D497,$C$5:$AJ$646,11,)=0,0,((VLOOKUP($D497,$C$5:$AJ$646,11,)/VLOOKUP($D497,$C$5:$AJ$646,4,))*$F497))</f>
        <v>0</v>
      </c>
      <c r="N497" s="98"/>
      <c r="O497" s="98">
        <f t="shared" ref="O497:O507" si="494">IF(VLOOKUP($D497,$C$5:$AJ$646,13,)=0,0,((VLOOKUP($D497,$C$5:$AJ$646,13,)/VLOOKUP($D497,$C$5:$AJ$646,4,))*$F497))</f>
        <v>0</v>
      </c>
      <c r="P497" s="98">
        <f t="shared" ref="P497:P507" si="495">IF(VLOOKUP($D497,$C$5:$AJ$646,14,)=0,0,((VLOOKUP($D497,$C$5:$AJ$646,14,)/VLOOKUP($D497,$C$5:$AJ$646,4,))*$F497))</f>
        <v>0</v>
      </c>
      <c r="Q497" s="98">
        <f t="shared" ref="Q497:Q507" si="496">IF(VLOOKUP($D497,$C$5:$AJ$646,15,)=0,0,((VLOOKUP($D497,$C$5:$AJ$646,15,)/VLOOKUP($D497,$C$5:$AJ$646,4,))*$F497))</f>
        <v>0</v>
      </c>
      <c r="R497" s="98"/>
      <c r="S497" s="98">
        <f t="shared" ref="S497:S507" si="497">IF(VLOOKUP($D497,$C$5:$AJ$646,17,)=0,0,((VLOOKUP($D497,$C$5:$AJ$646,17,)/VLOOKUP($D497,$C$5:$AJ$646,4,))*$F497))</f>
        <v>0</v>
      </c>
      <c r="T497" s="98">
        <f t="shared" ref="T497:T507" si="498">IF(VLOOKUP($D497,$C$5:$AJ$646,18,)=0,0,((VLOOKUP($D497,$C$5:$AJ$646,18,)/VLOOKUP($D497,$C$5:$AJ$646,4,))*$F497))</f>
        <v>0</v>
      </c>
      <c r="U497" s="98">
        <f t="shared" ref="U497:U507" si="499">IF(VLOOKUP($D497,$C$5:$AJ$646,19,)=0,0,((VLOOKUP($D497,$C$5:$AJ$646,19,)/VLOOKUP($D497,$C$5:$AJ$646,4,))*$F497))</f>
        <v>0</v>
      </c>
      <c r="V497" s="98">
        <f t="shared" ref="V497:V507" si="500">IF(VLOOKUP($D497,$C$5:$AJ$646,20,)=0,0,((VLOOKUP($D497,$C$5:$AJ$646,20,)/VLOOKUP($D497,$C$5:$AJ$646,4,))*$F497))</f>
        <v>0</v>
      </c>
      <c r="W497" s="98">
        <f t="shared" ref="W497:W507" si="501">IF(VLOOKUP($D497,$C$5:$AJ$646,21,)=0,0,((VLOOKUP($D497,$C$5:$AJ$646,21,)/VLOOKUP($D497,$C$5:$AJ$646,4,))*$F497))</f>
        <v>0</v>
      </c>
      <c r="X497" s="98">
        <f t="shared" ref="X497:X507" si="502">IF(VLOOKUP($D497,$C$5:$AJ$646,22,)=0,0,((VLOOKUP($D497,$C$5:$AJ$646,22,)/VLOOKUP($D497,$C$5:$AJ$646,4,))*$F497))</f>
        <v>0</v>
      </c>
      <c r="Y497" s="98">
        <f t="shared" ref="Y497:Y507" si="503">IF(VLOOKUP($D497,$C$5:$AJ$646,23,)=0,0,((VLOOKUP($D497,$C$5:$AJ$646,23,)/VLOOKUP($D497,$C$5:$AJ$646,4,))*$F497))</f>
        <v>0</v>
      </c>
      <c r="Z497" s="98">
        <f t="shared" ref="Z497:Z507" si="504">IF(VLOOKUP($D497,$C$5:$AJ$646,24,)=0,0,((VLOOKUP($D497,$C$5:$AJ$646,24,)/VLOOKUP($D497,$C$5:$AJ$646,4,))*$F497))</f>
        <v>0</v>
      </c>
      <c r="AA497" s="98">
        <f t="shared" ref="AA497:AA507" si="505">IF(VLOOKUP($D497,$C$5:$AJ$646,25,)=0,0,((VLOOKUP($D497,$C$5:$AJ$646,25,)/VLOOKUP($D497,$C$5:$AJ$646,4,))*$F497))</f>
        <v>0</v>
      </c>
      <c r="AB497" s="98">
        <f t="shared" ref="AB497:AB507" si="506">IF(VLOOKUP($D497,$C$5:$AJ$646,26,)=0,0,((VLOOKUP($D497,$C$5:$AJ$646,26,)/VLOOKUP($D497,$C$5:$AJ$646,4,))*$F497))</f>
        <v>0</v>
      </c>
      <c r="AC497" s="98">
        <f t="shared" ref="AC497:AC507" si="507">IF(VLOOKUP($D497,$C$5:$AJ$646,27,)=0,0,((VLOOKUP($D497,$C$5:$AJ$646,27,)/VLOOKUP($D497,$C$5:$AJ$646,4,))*$F497))</f>
        <v>0</v>
      </c>
      <c r="AD497" s="98">
        <f t="shared" ref="AD497:AD507" si="508">IF(VLOOKUP($D497,$C$5:$AJ$646,28,)=0,0,((VLOOKUP($D497,$C$5:$AJ$646,28,)/VLOOKUP($D497,$C$5:$AJ$646,4,))*$F497))</f>
        <v>0</v>
      </c>
      <c r="AE497" s="98"/>
      <c r="AF497" s="98">
        <f t="shared" ref="AF497:AF507" si="509">IF(VLOOKUP($D497,$C$5:$AJ$646,30,)=0,0,((VLOOKUP($D497,$C$5:$AJ$646,30,)/VLOOKUP($D497,$C$5:$AJ$646,4,))*$F497))</f>
        <v>0</v>
      </c>
      <c r="AG497" s="98"/>
      <c r="AH497" s="98">
        <f t="shared" ref="AH497:AH507" si="510">IF(VLOOKUP($D497,$C$5:$AJ$646,32,)=0,0,((VLOOKUP($D497,$C$5:$AJ$646,32,)/VLOOKUP($D497,$C$5:$AJ$646,4,))*$F497))</f>
        <v>180380.8167346133</v>
      </c>
      <c r="AI497" s="98"/>
      <c r="AJ497" s="98">
        <f t="shared" ref="AJ497:AJ507" si="511">IF(VLOOKUP($D497,$C$5:$AJ$646,34,)=0,0,((VLOOKUP($D497,$C$5:$AJ$646,34,)/VLOOKUP($D497,$C$5:$AJ$646,4,))*$F497))</f>
        <v>0</v>
      </c>
      <c r="AK497" s="98">
        <f t="shared" ref="AK497:AK507" si="512">SUM(H497:AJ497)</f>
        <v>180380.8167346133</v>
      </c>
      <c r="AL497" s="95" t="str">
        <f t="shared" ref="AL497:AL507" si="513">IF(ABS(AK497-F497)&lt;1,"ok","err")</f>
        <v>ok</v>
      </c>
    </row>
    <row r="498" spans="1:38" x14ac:dyDescent="0.25">
      <c r="A498" s="94">
        <v>908</v>
      </c>
      <c r="B498" s="94" t="s">
        <v>1494</v>
      </c>
      <c r="C498" s="94" t="s">
        <v>1290</v>
      </c>
      <c r="D498" s="94" t="s">
        <v>891</v>
      </c>
      <c r="F498" s="98">
        <f>'Jurisdictional Study'!F1408</f>
        <v>1275795.618947675</v>
      </c>
      <c r="H498" s="98">
        <f t="shared" si="488"/>
        <v>0</v>
      </c>
      <c r="I498" s="98">
        <f t="shared" si="489"/>
        <v>0</v>
      </c>
      <c r="J498" s="98">
        <f t="shared" si="490"/>
        <v>0</v>
      </c>
      <c r="K498" s="98">
        <f t="shared" si="491"/>
        <v>0</v>
      </c>
      <c r="L498" s="98">
        <f t="shared" si="492"/>
        <v>0</v>
      </c>
      <c r="M498" s="98">
        <f t="shared" si="493"/>
        <v>0</v>
      </c>
      <c r="N498" s="98"/>
      <c r="O498" s="98">
        <f t="shared" si="494"/>
        <v>0</v>
      </c>
      <c r="P498" s="98">
        <f t="shared" si="495"/>
        <v>0</v>
      </c>
      <c r="Q498" s="98">
        <f t="shared" si="496"/>
        <v>0</v>
      </c>
      <c r="R498" s="98"/>
      <c r="S498" s="98">
        <f t="shared" si="497"/>
        <v>0</v>
      </c>
      <c r="T498" s="98">
        <f t="shared" si="498"/>
        <v>0</v>
      </c>
      <c r="U498" s="98">
        <f t="shared" si="499"/>
        <v>0</v>
      </c>
      <c r="V498" s="98">
        <f t="shared" si="500"/>
        <v>0</v>
      </c>
      <c r="W498" s="98">
        <f t="shared" si="501"/>
        <v>0</v>
      </c>
      <c r="X498" s="98">
        <f t="shared" si="502"/>
        <v>0</v>
      </c>
      <c r="Y498" s="98">
        <f t="shared" si="503"/>
        <v>0</v>
      </c>
      <c r="Z498" s="98">
        <f t="shared" si="504"/>
        <v>0</v>
      </c>
      <c r="AA498" s="98">
        <f t="shared" si="505"/>
        <v>0</v>
      </c>
      <c r="AB498" s="98">
        <f t="shared" si="506"/>
        <v>0</v>
      </c>
      <c r="AC498" s="98">
        <f t="shared" si="507"/>
        <v>0</v>
      </c>
      <c r="AD498" s="98">
        <f t="shared" si="508"/>
        <v>0</v>
      </c>
      <c r="AE498" s="98"/>
      <c r="AF498" s="98">
        <f t="shared" si="509"/>
        <v>0</v>
      </c>
      <c r="AG498" s="98"/>
      <c r="AH498" s="98">
        <f t="shared" si="510"/>
        <v>1275795.618947675</v>
      </c>
      <c r="AI498" s="98"/>
      <c r="AJ498" s="98">
        <f t="shared" si="511"/>
        <v>0</v>
      </c>
      <c r="AK498" s="98">
        <f t="shared" si="512"/>
        <v>1275795.618947675</v>
      </c>
      <c r="AL498" s="95" t="str">
        <f t="shared" si="513"/>
        <v>ok</v>
      </c>
    </row>
    <row r="499" spans="1:38" x14ac:dyDescent="0.25">
      <c r="A499" s="94">
        <v>908</v>
      </c>
      <c r="B499" s="94" t="s">
        <v>1716</v>
      </c>
      <c r="C499" s="94" t="s">
        <v>1291</v>
      </c>
      <c r="D499" s="94" t="s">
        <v>891</v>
      </c>
      <c r="F499" s="98">
        <v>0</v>
      </c>
      <c r="H499" s="98">
        <f t="shared" si="488"/>
        <v>0</v>
      </c>
      <c r="I499" s="98">
        <f t="shared" si="489"/>
        <v>0</v>
      </c>
      <c r="J499" s="98">
        <f t="shared" si="490"/>
        <v>0</v>
      </c>
      <c r="K499" s="98">
        <f t="shared" si="491"/>
        <v>0</v>
      </c>
      <c r="L499" s="98">
        <f t="shared" si="492"/>
        <v>0</v>
      </c>
      <c r="M499" s="98">
        <f t="shared" si="493"/>
        <v>0</v>
      </c>
      <c r="N499" s="98"/>
      <c r="O499" s="98">
        <f t="shared" si="494"/>
        <v>0</v>
      </c>
      <c r="P499" s="98">
        <f t="shared" si="495"/>
        <v>0</v>
      </c>
      <c r="Q499" s="98">
        <f t="shared" si="496"/>
        <v>0</v>
      </c>
      <c r="R499" s="98"/>
      <c r="S499" s="98">
        <f t="shared" si="497"/>
        <v>0</v>
      </c>
      <c r="T499" s="98">
        <f t="shared" si="498"/>
        <v>0</v>
      </c>
      <c r="U499" s="98">
        <f t="shared" si="499"/>
        <v>0</v>
      </c>
      <c r="V499" s="98">
        <f t="shared" si="500"/>
        <v>0</v>
      </c>
      <c r="W499" s="98">
        <f t="shared" si="501"/>
        <v>0</v>
      </c>
      <c r="X499" s="98">
        <f t="shared" si="502"/>
        <v>0</v>
      </c>
      <c r="Y499" s="98">
        <f t="shared" si="503"/>
        <v>0</v>
      </c>
      <c r="Z499" s="98">
        <f t="shared" si="504"/>
        <v>0</v>
      </c>
      <c r="AA499" s="98">
        <f t="shared" si="505"/>
        <v>0</v>
      </c>
      <c r="AB499" s="98">
        <f t="shared" si="506"/>
        <v>0</v>
      </c>
      <c r="AC499" s="98">
        <f t="shared" si="507"/>
        <v>0</v>
      </c>
      <c r="AD499" s="98">
        <f t="shared" si="508"/>
        <v>0</v>
      </c>
      <c r="AE499" s="98"/>
      <c r="AF499" s="98">
        <f t="shared" si="509"/>
        <v>0</v>
      </c>
      <c r="AG499" s="98"/>
      <c r="AH499" s="98">
        <f t="shared" si="510"/>
        <v>0</v>
      </c>
      <c r="AI499" s="98"/>
      <c r="AJ499" s="98">
        <f t="shared" si="511"/>
        <v>0</v>
      </c>
      <c r="AK499" s="98">
        <f t="shared" si="512"/>
        <v>0</v>
      </c>
      <c r="AL499" s="95" t="str">
        <f t="shared" si="513"/>
        <v>ok</v>
      </c>
    </row>
    <row r="500" spans="1:38" x14ac:dyDescent="0.25">
      <c r="A500" s="94">
        <v>909</v>
      </c>
      <c r="B500" s="94" t="s">
        <v>1496</v>
      </c>
      <c r="C500" s="94" t="s">
        <v>1292</v>
      </c>
      <c r="D500" s="94" t="s">
        <v>891</v>
      </c>
      <c r="F500" s="98">
        <f>'Jurisdictional Study'!F1409</f>
        <v>0</v>
      </c>
      <c r="H500" s="98">
        <f t="shared" si="488"/>
        <v>0</v>
      </c>
      <c r="I500" s="98">
        <f t="shared" si="489"/>
        <v>0</v>
      </c>
      <c r="J500" s="98">
        <f t="shared" si="490"/>
        <v>0</v>
      </c>
      <c r="K500" s="98">
        <f t="shared" si="491"/>
        <v>0</v>
      </c>
      <c r="L500" s="98">
        <f t="shared" si="492"/>
        <v>0</v>
      </c>
      <c r="M500" s="98">
        <f t="shared" si="493"/>
        <v>0</v>
      </c>
      <c r="N500" s="98"/>
      <c r="O500" s="98">
        <f t="shared" si="494"/>
        <v>0</v>
      </c>
      <c r="P500" s="98">
        <f t="shared" si="495"/>
        <v>0</v>
      </c>
      <c r="Q500" s="98">
        <f t="shared" si="496"/>
        <v>0</v>
      </c>
      <c r="R500" s="98"/>
      <c r="S500" s="98">
        <f t="shared" si="497"/>
        <v>0</v>
      </c>
      <c r="T500" s="98">
        <f t="shared" si="498"/>
        <v>0</v>
      </c>
      <c r="U500" s="98">
        <f t="shared" si="499"/>
        <v>0</v>
      </c>
      <c r="V500" s="98">
        <f t="shared" si="500"/>
        <v>0</v>
      </c>
      <c r="W500" s="98">
        <f t="shared" si="501"/>
        <v>0</v>
      </c>
      <c r="X500" s="98">
        <f t="shared" si="502"/>
        <v>0</v>
      </c>
      <c r="Y500" s="98">
        <f t="shared" si="503"/>
        <v>0</v>
      </c>
      <c r="Z500" s="98">
        <f t="shared" si="504"/>
        <v>0</v>
      </c>
      <c r="AA500" s="98">
        <f t="shared" si="505"/>
        <v>0</v>
      </c>
      <c r="AB500" s="98">
        <f t="shared" si="506"/>
        <v>0</v>
      </c>
      <c r="AC500" s="98">
        <f t="shared" si="507"/>
        <v>0</v>
      </c>
      <c r="AD500" s="98">
        <f t="shared" si="508"/>
        <v>0</v>
      </c>
      <c r="AE500" s="98"/>
      <c r="AF500" s="98">
        <f t="shared" si="509"/>
        <v>0</v>
      </c>
      <c r="AG500" s="98"/>
      <c r="AH500" s="98">
        <f t="shared" si="510"/>
        <v>0</v>
      </c>
      <c r="AI500" s="98"/>
      <c r="AJ500" s="98">
        <f t="shared" si="511"/>
        <v>0</v>
      </c>
      <c r="AK500" s="98">
        <f t="shared" si="512"/>
        <v>0</v>
      </c>
      <c r="AL500" s="95" t="str">
        <f t="shared" si="513"/>
        <v>ok</v>
      </c>
    </row>
    <row r="501" spans="1:38" x14ac:dyDescent="0.25">
      <c r="A501" s="94">
        <v>909</v>
      </c>
      <c r="B501" s="94" t="s">
        <v>1718</v>
      </c>
      <c r="C501" s="94" t="s">
        <v>1293</v>
      </c>
      <c r="D501" s="94" t="s">
        <v>891</v>
      </c>
      <c r="F501" s="98">
        <v>0</v>
      </c>
      <c r="H501" s="98">
        <f t="shared" si="488"/>
        <v>0</v>
      </c>
      <c r="I501" s="98">
        <f t="shared" si="489"/>
        <v>0</v>
      </c>
      <c r="J501" s="98">
        <f t="shared" si="490"/>
        <v>0</v>
      </c>
      <c r="K501" s="98">
        <f t="shared" si="491"/>
        <v>0</v>
      </c>
      <c r="L501" s="98">
        <f t="shared" si="492"/>
        <v>0</v>
      </c>
      <c r="M501" s="98">
        <f t="shared" si="493"/>
        <v>0</v>
      </c>
      <c r="N501" s="98"/>
      <c r="O501" s="98">
        <f t="shared" si="494"/>
        <v>0</v>
      </c>
      <c r="P501" s="98">
        <f t="shared" si="495"/>
        <v>0</v>
      </c>
      <c r="Q501" s="98">
        <f t="shared" si="496"/>
        <v>0</v>
      </c>
      <c r="R501" s="98"/>
      <c r="S501" s="98">
        <f t="shared" si="497"/>
        <v>0</v>
      </c>
      <c r="T501" s="98">
        <f t="shared" si="498"/>
        <v>0</v>
      </c>
      <c r="U501" s="98">
        <f t="shared" si="499"/>
        <v>0</v>
      </c>
      <c r="V501" s="98">
        <f t="shared" si="500"/>
        <v>0</v>
      </c>
      <c r="W501" s="98">
        <f t="shared" si="501"/>
        <v>0</v>
      </c>
      <c r="X501" s="98">
        <f t="shared" si="502"/>
        <v>0</v>
      </c>
      <c r="Y501" s="98">
        <f t="shared" si="503"/>
        <v>0</v>
      </c>
      <c r="Z501" s="98">
        <f t="shared" si="504"/>
        <v>0</v>
      </c>
      <c r="AA501" s="98">
        <f t="shared" si="505"/>
        <v>0</v>
      </c>
      <c r="AB501" s="98">
        <f t="shared" si="506"/>
        <v>0</v>
      </c>
      <c r="AC501" s="98">
        <f t="shared" si="507"/>
        <v>0</v>
      </c>
      <c r="AD501" s="98">
        <f t="shared" si="508"/>
        <v>0</v>
      </c>
      <c r="AE501" s="98"/>
      <c r="AF501" s="98">
        <f t="shared" si="509"/>
        <v>0</v>
      </c>
      <c r="AG501" s="98"/>
      <c r="AH501" s="98">
        <f t="shared" si="510"/>
        <v>0</v>
      </c>
      <c r="AI501" s="98"/>
      <c r="AJ501" s="98">
        <f t="shared" si="511"/>
        <v>0</v>
      </c>
      <c r="AK501" s="98">
        <f t="shared" si="512"/>
        <v>0</v>
      </c>
      <c r="AL501" s="95" t="str">
        <f t="shared" si="513"/>
        <v>ok</v>
      </c>
    </row>
    <row r="502" spans="1:38" x14ac:dyDescent="0.25">
      <c r="A502" s="94">
        <v>910</v>
      </c>
      <c r="B502" s="94" t="s">
        <v>1498</v>
      </c>
      <c r="C502" s="94" t="s">
        <v>1294</v>
      </c>
      <c r="D502" s="94" t="s">
        <v>891</v>
      </c>
      <c r="F502" s="98">
        <f>'Jurisdictional Study'!F1410</f>
        <v>0</v>
      </c>
      <c r="H502" s="98">
        <f t="shared" si="488"/>
        <v>0</v>
      </c>
      <c r="I502" s="98">
        <f t="shared" si="489"/>
        <v>0</v>
      </c>
      <c r="J502" s="98">
        <f t="shared" si="490"/>
        <v>0</v>
      </c>
      <c r="K502" s="98">
        <f t="shared" si="491"/>
        <v>0</v>
      </c>
      <c r="L502" s="98">
        <f t="shared" si="492"/>
        <v>0</v>
      </c>
      <c r="M502" s="98">
        <f t="shared" si="493"/>
        <v>0</v>
      </c>
      <c r="N502" s="98"/>
      <c r="O502" s="98">
        <f t="shared" si="494"/>
        <v>0</v>
      </c>
      <c r="P502" s="98">
        <f t="shared" si="495"/>
        <v>0</v>
      </c>
      <c r="Q502" s="98">
        <f t="shared" si="496"/>
        <v>0</v>
      </c>
      <c r="R502" s="98"/>
      <c r="S502" s="98">
        <f t="shared" si="497"/>
        <v>0</v>
      </c>
      <c r="T502" s="98">
        <f t="shared" si="498"/>
        <v>0</v>
      </c>
      <c r="U502" s="98">
        <f t="shared" si="499"/>
        <v>0</v>
      </c>
      <c r="V502" s="98">
        <f t="shared" si="500"/>
        <v>0</v>
      </c>
      <c r="W502" s="98">
        <f t="shared" si="501"/>
        <v>0</v>
      </c>
      <c r="X502" s="98">
        <f t="shared" si="502"/>
        <v>0</v>
      </c>
      <c r="Y502" s="98">
        <f t="shared" si="503"/>
        <v>0</v>
      </c>
      <c r="Z502" s="98">
        <f t="shared" si="504"/>
        <v>0</v>
      </c>
      <c r="AA502" s="98">
        <f t="shared" si="505"/>
        <v>0</v>
      </c>
      <c r="AB502" s="98">
        <f t="shared" si="506"/>
        <v>0</v>
      </c>
      <c r="AC502" s="98">
        <f t="shared" si="507"/>
        <v>0</v>
      </c>
      <c r="AD502" s="98">
        <f t="shared" si="508"/>
        <v>0</v>
      </c>
      <c r="AE502" s="98"/>
      <c r="AF502" s="98">
        <f t="shared" si="509"/>
        <v>0</v>
      </c>
      <c r="AG502" s="98"/>
      <c r="AH502" s="98">
        <f t="shared" si="510"/>
        <v>0</v>
      </c>
      <c r="AI502" s="98"/>
      <c r="AJ502" s="98">
        <f t="shared" si="511"/>
        <v>0</v>
      </c>
      <c r="AK502" s="98">
        <f t="shared" si="512"/>
        <v>0</v>
      </c>
      <c r="AL502" s="95" t="str">
        <f t="shared" si="513"/>
        <v>ok</v>
      </c>
    </row>
    <row r="503" spans="1:38" x14ac:dyDescent="0.25">
      <c r="A503" s="94">
        <v>911</v>
      </c>
      <c r="B503" s="94" t="s">
        <v>1111</v>
      </c>
      <c r="C503" s="94" t="s">
        <v>1221</v>
      </c>
      <c r="D503" s="94" t="s">
        <v>891</v>
      </c>
      <c r="F503" s="98">
        <v>0</v>
      </c>
      <c r="H503" s="98">
        <f t="shared" si="488"/>
        <v>0</v>
      </c>
      <c r="I503" s="98">
        <f t="shared" si="489"/>
        <v>0</v>
      </c>
      <c r="J503" s="98">
        <f t="shared" si="490"/>
        <v>0</v>
      </c>
      <c r="K503" s="98">
        <f t="shared" si="491"/>
        <v>0</v>
      </c>
      <c r="L503" s="98">
        <f t="shared" si="492"/>
        <v>0</v>
      </c>
      <c r="M503" s="98">
        <f t="shared" si="493"/>
        <v>0</v>
      </c>
      <c r="N503" s="98"/>
      <c r="O503" s="98">
        <f t="shared" si="494"/>
        <v>0</v>
      </c>
      <c r="P503" s="98">
        <f t="shared" si="495"/>
        <v>0</v>
      </c>
      <c r="Q503" s="98">
        <f t="shared" si="496"/>
        <v>0</v>
      </c>
      <c r="R503" s="98"/>
      <c r="S503" s="98">
        <f t="shared" si="497"/>
        <v>0</v>
      </c>
      <c r="T503" s="98">
        <f t="shared" si="498"/>
        <v>0</v>
      </c>
      <c r="U503" s="98">
        <f t="shared" si="499"/>
        <v>0</v>
      </c>
      <c r="V503" s="98">
        <f t="shared" si="500"/>
        <v>0</v>
      </c>
      <c r="W503" s="98">
        <f t="shared" si="501"/>
        <v>0</v>
      </c>
      <c r="X503" s="98">
        <f t="shared" si="502"/>
        <v>0</v>
      </c>
      <c r="Y503" s="98">
        <f t="shared" si="503"/>
        <v>0</v>
      </c>
      <c r="Z503" s="98">
        <f t="shared" si="504"/>
        <v>0</v>
      </c>
      <c r="AA503" s="98">
        <f t="shared" si="505"/>
        <v>0</v>
      </c>
      <c r="AB503" s="98">
        <f t="shared" si="506"/>
        <v>0</v>
      </c>
      <c r="AC503" s="98">
        <f t="shared" si="507"/>
        <v>0</v>
      </c>
      <c r="AD503" s="98">
        <f t="shared" si="508"/>
        <v>0</v>
      </c>
      <c r="AE503" s="98"/>
      <c r="AF503" s="98">
        <f t="shared" si="509"/>
        <v>0</v>
      </c>
      <c r="AG503" s="98"/>
      <c r="AH503" s="98">
        <f t="shared" si="510"/>
        <v>0</v>
      </c>
      <c r="AI503" s="98"/>
      <c r="AJ503" s="98">
        <f t="shared" si="511"/>
        <v>0</v>
      </c>
      <c r="AK503" s="98">
        <f t="shared" si="512"/>
        <v>0</v>
      </c>
      <c r="AL503" s="95" t="str">
        <f t="shared" si="513"/>
        <v>ok</v>
      </c>
    </row>
    <row r="504" spans="1:38" x14ac:dyDescent="0.25">
      <c r="A504" s="94">
        <v>912</v>
      </c>
      <c r="B504" s="94" t="s">
        <v>1111</v>
      </c>
      <c r="C504" s="94" t="s">
        <v>1114</v>
      </c>
      <c r="D504" s="94" t="s">
        <v>891</v>
      </c>
      <c r="F504" s="98">
        <f>'Jurisdictional Study'!F1411</f>
        <v>0</v>
      </c>
      <c r="H504" s="98">
        <f t="shared" si="488"/>
        <v>0</v>
      </c>
      <c r="I504" s="98">
        <f t="shared" si="489"/>
        <v>0</v>
      </c>
      <c r="J504" s="98">
        <f t="shared" si="490"/>
        <v>0</v>
      </c>
      <c r="K504" s="98">
        <f t="shared" si="491"/>
        <v>0</v>
      </c>
      <c r="L504" s="98">
        <f t="shared" si="492"/>
        <v>0</v>
      </c>
      <c r="M504" s="98">
        <f t="shared" si="493"/>
        <v>0</v>
      </c>
      <c r="N504" s="98"/>
      <c r="O504" s="98">
        <f t="shared" si="494"/>
        <v>0</v>
      </c>
      <c r="P504" s="98">
        <f t="shared" si="495"/>
        <v>0</v>
      </c>
      <c r="Q504" s="98">
        <f t="shared" si="496"/>
        <v>0</v>
      </c>
      <c r="R504" s="98"/>
      <c r="S504" s="98">
        <f t="shared" si="497"/>
        <v>0</v>
      </c>
      <c r="T504" s="98">
        <f t="shared" si="498"/>
        <v>0</v>
      </c>
      <c r="U504" s="98">
        <f t="shared" si="499"/>
        <v>0</v>
      </c>
      <c r="V504" s="98">
        <f t="shared" si="500"/>
        <v>0</v>
      </c>
      <c r="W504" s="98">
        <f t="shared" si="501"/>
        <v>0</v>
      </c>
      <c r="X504" s="98">
        <f t="shared" si="502"/>
        <v>0</v>
      </c>
      <c r="Y504" s="98">
        <f t="shared" si="503"/>
        <v>0</v>
      </c>
      <c r="Z504" s="98">
        <f t="shared" si="504"/>
        <v>0</v>
      </c>
      <c r="AA504" s="98">
        <f t="shared" si="505"/>
        <v>0</v>
      </c>
      <c r="AB504" s="98">
        <f t="shared" si="506"/>
        <v>0</v>
      </c>
      <c r="AC504" s="98">
        <f t="shared" si="507"/>
        <v>0</v>
      </c>
      <c r="AD504" s="98">
        <f t="shared" si="508"/>
        <v>0</v>
      </c>
      <c r="AE504" s="98"/>
      <c r="AF504" s="98">
        <f t="shared" si="509"/>
        <v>0</v>
      </c>
      <c r="AG504" s="98"/>
      <c r="AH504" s="98">
        <f t="shared" si="510"/>
        <v>0</v>
      </c>
      <c r="AI504" s="98"/>
      <c r="AJ504" s="98">
        <f t="shared" si="511"/>
        <v>0</v>
      </c>
      <c r="AK504" s="98">
        <f t="shared" si="512"/>
        <v>0</v>
      </c>
      <c r="AL504" s="95" t="str">
        <f t="shared" si="513"/>
        <v>ok</v>
      </c>
    </row>
    <row r="505" spans="1:38" x14ac:dyDescent="0.25">
      <c r="A505" s="94">
        <v>913</v>
      </c>
      <c r="B505" s="94" t="s">
        <v>617</v>
      </c>
      <c r="C505" s="94" t="s">
        <v>1115</v>
      </c>
      <c r="D505" s="94" t="s">
        <v>891</v>
      </c>
      <c r="F505" s="98">
        <f>'Jurisdictional Study'!F1412</f>
        <v>0</v>
      </c>
      <c r="H505" s="98">
        <f t="shared" si="488"/>
        <v>0</v>
      </c>
      <c r="I505" s="98">
        <f t="shared" si="489"/>
        <v>0</v>
      </c>
      <c r="J505" s="98">
        <f t="shared" si="490"/>
        <v>0</v>
      </c>
      <c r="K505" s="98">
        <f t="shared" si="491"/>
        <v>0</v>
      </c>
      <c r="L505" s="98">
        <f t="shared" si="492"/>
        <v>0</v>
      </c>
      <c r="M505" s="98">
        <f t="shared" si="493"/>
        <v>0</v>
      </c>
      <c r="N505" s="98"/>
      <c r="O505" s="98">
        <f t="shared" si="494"/>
        <v>0</v>
      </c>
      <c r="P505" s="98">
        <f t="shared" si="495"/>
        <v>0</v>
      </c>
      <c r="Q505" s="98">
        <f t="shared" si="496"/>
        <v>0</v>
      </c>
      <c r="R505" s="98"/>
      <c r="S505" s="98">
        <f t="shared" si="497"/>
        <v>0</v>
      </c>
      <c r="T505" s="98">
        <f t="shared" si="498"/>
        <v>0</v>
      </c>
      <c r="U505" s="98">
        <f t="shared" si="499"/>
        <v>0</v>
      </c>
      <c r="V505" s="98">
        <f t="shared" si="500"/>
        <v>0</v>
      </c>
      <c r="W505" s="98">
        <f t="shared" si="501"/>
        <v>0</v>
      </c>
      <c r="X505" s="98">
        <f t="shared" si="502"/>
        <v>0</v>
      </c>
      <c r="Y505" s="98">
        <f t="shared" si="503"/>
        <v>0</v>
      </c>
      <c r="Z505" s="98">
        <f t="shared" si="504"/>
        <v>0</v>
      </c>
      <c r="AA505" s="98">
        <f t="shared" si="505"/>
        <v>0</v>
      </c>
      <c r="AB505" s="98">
        <f t="shared" si="506"/>
        <v>0</v>
      </c>
      <c r="AC505" s="98">
        <f t="shared" si="507"/>
        <v>0</v>
      </c>
      <c r="AD505" s="98">
        <f t="shared" si="508"/>
        <v>0</v>
      </c>
      <c r="AE505" s="98"/>
      <c r="AF505" s="98">
        <f t="shared" si="509"/>
        <v>0</v>
      </c>
      <c r="AG505" s="98"/>
      <c r="AH505" s="98">
        <f t="shared" si="510"/>
        <v>0</v>
      </c>
      <c r="AI505" s="98"/>
      <c r="AJ505" s="98">
        <f t="shared" si="511"/>
        <v>0</v>
      </c>
      <c r="AK505" s="98">
        <f t="shared" si="512"/>
        <v>0</v>
      </c>
      <c r="AL505" s="95" t="str">
        <f t="shared" si="513"/>
        <v>ok</v>
      </c>
    </row>
    <row r="506" spans="1:38" x14ac:dyDescent="0.25">
      <c r="A506" s="94">
        <v>915</v>
      </c>
      <c r="B506" s="94" t="s">
        <v>1121</v>
      </c>
      <c r="C506" s="94" t="s">
        <v>1125</v>
      </c>
      <c r="D506" s="94" t="s">
        <v>891</v>
      </c>
      <c r="F506" s="98">
        <f>'Jurisdictional Study'!F1413</f>
        <v>0</v>
      </c>
      <c r="H506" s="98">
        <f t="shared" si="488"/>
        <v>0</v>
      </c>
      <c r="I506" s="98">
        <f t="shared" si="489"/>
        <v>0</v>
      </c>
      <c r="J506" s="98">
        <f t="shared" si="490"/>
        <v>0</v>
      </c>
      <c r="K506" s="98">
        <f t="shared" si="491"/>
        <v>0</v>
      </c>
      <c r="L506" s="98">
        <f t="shared" si="492"/>
        <v>0</v>
      </c>
      <c r="M506" s="98">
        <f t="shared" si="493"/>
        <v>0</v>
      </c>
      <c r="N506" s="98"/>
      <c r="O506" s="98">
        <f t="shared" si="494"/>
        <v>0</v>
      </c>
      <c r="P506" s="98">
        <f t="shared" si="495"/>
        <v>0</v>
      </c>
      <c r="Q506" s="98">
        <f t="shared" si="496"/>
        <v>0</v>
      </c>
      <c r="R506" s="98"/>
      <c r="S506" s="98">
        <f t="shared" si="497"/>
        <v>0</v>
      </c>
      <c r="T506" s="98">
        <f t="shared" si="498"/>
        <v>0</v>
      </c>
      <c r="U506" s="98">
        <f t="shared" si="499"/>
        <v>0</v>
      </c>
      <c r="V506" s="98">
        <f t="shared" si="500"/>
        <v>0</v>
      </c>
      <c r="W506" s="98">
        <f t="shared" si="501"/>
        <v>0</v>
      </c>
      <c r="X506" s="98">
        <f t="shared" si="502"/>
        <v>0</v>
      </c>
      <c r="Y506" s="98">
        <f t="shared" si="503"/>
        <v>0</v>
      </c>
      <c r="Z506" s="98">
        <f t="shared" si="504"/>
        <v>0</v>
      </c>
      <c r="AA506" s="98">
        <f t="shared" si="505"/>
        <v>0</v>
      </c>
      <c r="AB506" s="98">
        <f t="shared" si="506"/>
        <v>0</v>
      </c>
      <c r="AC506" s="98">
        <f t="shared" si="507"/>
        <v>0</v>
      </c>
      <c r="AD506" s="98">
        <f t="shared" si="508"/>
        <v>0</v>
      </c>
      <c r="AE506" s="98"/>
      <c r="AF506" s="98">
        <f t="shared" si="509"/>
        <v>0</v>
      </c>
      <c r="AG506" s="98"/>
      <c r="AH506" s="98">
        <f t="shared" si="510"/>
        <v>0</v>
      </c>
      <c r="AI506" s="98"/>
      <c r="AJ506" s="98">
        <f t="shared" si="511"/>
        <v>0</v>
      </c>
      <c r="AK506" s="98">
        <f t="shared" si="512"/>
        <v>0</v>
      </c>
      <c r="AL506" s="95" t="str">
        <f t="shared" si="513"/>
        <v>ok</v>
      </c>
    </row>
    <row r="507" spans="1:38" x14ac:dyDescent="0.25">
      <c r="A507" s="94">
        <v>916</v>
      </c>
      <c r="B507" s="94" t="s">
        <v>1122</v>
      </c>
      <c r="C507" s="94" t="s">
        <v>1126</v>
      </c>
      <c r="D507" s="94" t="s">
        <v>891</v>
      </c>
      <c r="F507" s="98">
        <f>'Jurisdictional Study'!F1450</f>
        <v>0</v>
      </c>
      <c r="H507" s="98">
        <f t="shared" si="488"/>
        <v>0</v>
      </c>
      <c r="I507" s="98">
        <f t="shared" si="489"/>
        <v>0</v>
      </c>
      <c r="J507" s="98">
        <f t="shared" si="490"/>
        <v>0</v>
      </c>
      <c r="K507" s="98">
        <f t="shared" si="491"/>
        <v>0</v>
      </c>
      <c r="L507" s="98">
        <f t="shared" si="492"/>
        <v>0</v>
      </c>
      <c r="M507" s="98">
        <f t="shared" si="493"/>
        <v>0</v>
      </c>
      <c r="N507" s="98"/>
      <c r="O507" s="98">
        <f t="shared" si="494"/>
        <v>0</v>
      </c>
      <c r="P507" s="98">
        <f t="shared" si="495"/>
        <v>0</v>
      </c>
      <c r="Q507" s="98">
        <f t="shared" si="496"/>
        <v>0</v>
      </c>
      <c r="R507" s="98"/>
      <c r="S507" s="98">
        <f t="shared" si="497"/>
        <v>0</v>
      </c>
      <c r="T507" s="98">
        <f t="shared" si="498"/>
        <v>0</v>
      </c>
      <c r="U507" s="98">
        <f t="shared" si="499"/>
        <v>0</v>
      </c>
      <c r="V507" s="98">
        <f t="shared" si="500"/>
        <v>0</v>
      </c>
      <c r="W507" s="98">
        <f t="shared" si="501"/>
        <v>0</v>
      </c>
      <c r="X507" s="98">
        <f t="shared" si="502"/>
        <v>0</v>
      </c>
      <c r="Y507" s="98">
        <f t="shared" si="503"/>
        <v>0</v>
      </c>
      <c r="Z507" s="98">
        <f t="shared" si="504"/>
        <v>0</v>
      </c>
      <c r="AA507" s="98">
        <f t="shared" si="505"/>
        <v>0</v>
      </c>
      <c r="AB507" s="98">
        <f t="shared" si="506"/>
        <v>0</v>
      </c>
      <c r="AC507" s="98">
        <f t="shared" si="507"/>
        <v>0</v>
      </c>
      <c r="AD507" s="98">
        <f t="shared" si="508"/>
        <v>0</v>
      </c>
      <c r="AE507" s="98"/>
      <c r="AF507" s="98">
        <f t="shared" si="509"/>
        <v>0</v>
      </c>
      <c r="AG507" s="98"/>
      <c r="AH507" s="98">
        <f t="shared" si="510"/>
        <v>0</v>
      </c>
      <c r="AI507" s="98"/>
      <c r="AJ507" s="98">
        <f t="shared" si="511"/>
        <v>0</v>
      </c>
      <c r="AK507" s="98">
        <f t="shared" si="512"/>
        <v>0</v>
      </c>
      <c r="AL507" s="95" t="str">
        <f t="shared" si="513"/>
        <v>ok</v>
      </c>
    </row>
    <row r="508" spans="1:38" x14ac:dyDescent="0.25">
      <c r="F508" s="98"/>
      <c r="H508" s="98"/>
      <c r="I508" s="98"/>
      <c r="J508" s="98"/>
      <c r="K508" s="98"/>
      <c r="L508" s="98"/>
      <c r="M508" s="98"/>
      <c r="N508" s="98"/>
      <c r="O508" s="98"/>
      <c r="P508" s="98"/>
      <c r="Q508" s="98"/>
      <c r="R508" s="98"/>
      <c r="S508" s="98"/>
      <c r="T508" s="98"/>
      <c r="U508" s="98"/>
      <c r="V508" s="98"/>
      <c r="W508" s="98"/>
      <c r="X508" s="98"/>
      <c r="Y508" s="98"/>
      <c r="Z508" s="98"/>
      <c r="AA508" s="98"/>
      <c r="AB508" s="98"/>
      <c r="AC508" s="98"/>
      <c r="AD508" s="98"/>
      <c r="AE508" s="98"/>
      <c r="AF508" s="98"/>
      <c r="AG508" s="98"/>
      <c r="AH508" s="98"/>
      <c r="AI508" s="98"/>
      <c r="AJ508" s="98"/>
      <c r="AK508" s="98"/>
      <c r="AL508" s="95"/>
    </row>
    <row r="509" spans="1:38" x14ac:dyDescent="0.25">
      <c r="A509" s="94" t="s">
        <v>1323</v>
      </c>
      <c r="C509" s="94" t="s">
        <v>1295</v>
      </c>
      <c r="F509" s="97">
        <f>SUM(F497:F508)</f>
        <v>1456176.4356822884</v>
      </c>
      <c r="G509" s="97">
        <f>SUM(G497:G508)</f>
        <v>0</v>
      </c>
      <c r="H509" s="97">
        <f t="shared" ref="H509:M509" si="514">SUM(H497:H508)</f>
        <v>0</v>
      </c>
      <c r="I509" s="97">
        <f t="shared" si="514"/>
        <v>0</v>
      </c>
      <c r="J509" s="97">
        <f t="shared" si="514"/>
        <v>0</v>
      </c>
      <c r="K509" s="97">
        <f t="shared" si="514"/>
        <v>0</v>
      </c>
      <c r="L509" s="97">
        <f t="shared" si="514"/>
        <v>0</v>
      </c>
      <c r="M509" s="97">
        <f t="shared" si="514"/>
        <v>0</v>
      </c>
      <c r="N509" s="98"/>
      <c r="O509" s="97">
        <f>SUM(O497:O508)</f>
        <v>0</v>
      </c>
      <c r="P509" s="97">
        <f>SUM(P497:P508)</f>
        <v>0</v>
      </c>
      <c r="Q509" s="97">
        <f>SUM(Q497:Q508)</f>
        <v>0</v>
      </c>
      <c r="R509" s="98"/>
      <c r="S509" s="97">
        <f t="shared" ref="S509:AD509" si="515">SUM(S497:S508)</f>
        <v>0</v>
      </c>
      <c r="T509" s="97">
        <f t="shared" si="515"/>
        <v>0</v>
      </c>
      <c r="U509" s="97">
        <f t="shared" si="515"/>
        <v>0</v>
      </c>
      <c r="V509" s="97">
        <f t="shared" si="515"/>
        <v>0</v>
      </c>
      <c r="W509" s="97">
        <f t="shared" si="515"/>
        <v>0</v>
      </c>
      <c r="X509" s="97">
        <f t="shared" si="515"/>
        <v>0</v>
      </c>
      <c r="Y509" s="97">
        <f t="shared" si="515"/>
        <v>0</v>
      </c>
      <c r="Z509" s="97">
        <f t="shared" si="515"/>
        <v>0</v>
      </c>
      <c r="AA509" s="97">
        <f t="shared" si="515"/>
        <v>0</v>
      </c>
      <c r="AB509" s="97">
        <f t="shared" si="515"/>
        <v>0</v>
      </c>
      <c r="AC509" s="97">
        <f t="shared" si="515"/>
        <v>0</v>
      </c>
      <c r="AD509" s="97">
        <f t="shared" si="515"/>
        <v>0</v>
      </c>
      <c r="AE509" s="98"/>
      <c r="AF509" s="97">
        <f>SUM(AF497:AF508)</f>
        <v>0</v>
      </c>
      <c r="AG509" s="98"/>
      <c r="AH509" s="97">
        <f>SUM(AH497:AH508)</f>
        <v>1456176.4356822884</v>
      </c>
      <c r="AI509" s="98"/>
      <c r="AJ509" s="97">
        <f>SUM(AJ497:AJ508)</f>
        <v>0</v>
      </c>
      <c r="AK509" s="98">
        <f>SUM(H509:AJ509)</f>
        <v>1456176.4356822884</v>
      </c>
      <c r="AL509" s="95" t="str">
        <f>IF(ABS(AK509-F509)&lt;1,"ok","err")</f>
        <v>ok</v>
      </c>
    </row>
    <row r="510" spans="1:38" x14ac:dyDescent="0.25">
      <c r="F510" s="98"/>
      <c r="H510" s="98"/>
      <c r="I510" s="98"/>
      <c r="J510" s="98"/>
      <c r="K510" s="98"/>
      <c r="L510" s="98"/>
      <c r="M510" s="98"/>
      <c r="N510" s="98"/>
      <c r="O510" s="98"/>
      <c r="P510" s="98"/>
      <c r="Q510" s="98"/>
      <c r="R510" s="98"/>
      <c r="S510" s="98"/>
      <c r="T510" s="98"/>
      <c r="U510" s="98"/>
      <c r="V510" s="98"/>
      <c r="W510" s="98"/>
      <c r="X510" s="98"/>
      <c r="Y510" s="98"/>
      <c r="Z510" s="98"/>
      <c r="AA510" s="98"/>
      <c r="AB510" s="98"/>
      <c r="AC510" s="98"/>
      <c r="AD510" s="98"/>
      <c r="AE510" s="98"/>
      <c r="AF510" s="98"/>
      <c r="AG510" s="98"/>
      <c r="AH510" s="98"/>
      <c r="AI510" s="98"/>
      <c r="AJ510" s="98"/>
      <c r="AL510" s="95"/>
    </row>
    <row r="511" spans="1:38" x14ac:dyDescent="0.25">
      <c r="A511" s="94" t="s">
        <v>380</v>
      </c>
      <c r="C511" s="94" t="s">
        <v>892</v>
      </c>
      <c r="F511" s="98">
        <f>F485+F494+F509</f>
        <v>77114147.550367326</v>
      </c>
      <c r="G511" s="98"/>
      <c r="H511" s="98">
        <f t="shared" ref="H511:AJ511" si="516">H485+H494+H509</f>
        <v>7690966.2622578945</v>
      </c>
      <c r="I511" s="98">
        <f t="shared" si="516"/>
        <v>7250102.76099212</v>
      </c>
      <c r="J511" s="98">
        <f t="shared" si="516"/>
        <v>7445905.5858901553</v>
      </c>
      <c r="K511" s="98">
        <f t="shared" si="516"/>
        <v>19032180.663988903</v>
      </c>
      <c r="L511" s="98">
        <f t="shared" si="516"/>
        <v>0</v>
      </c>
      <c r="M511" s="98">
        <f t="shared" si="516"/>
        <v>0</v>
      </c>
      <c r="N511" s="98"/>
      <c r="O511" s="98">
        <f t="shared" si="516"/>
        <v>1600627.3273765107</v>
      </c>
      <c r="P511" s="98">
        <f t="shared" si="516"/>
        <v>1508875.7653872478</v>
      </c>
      <c r="Q511" s="98">
        <f t="shared" si="516"/>
        <v>1549625.8274239658</v>
      </c>
      <c r="R511" s="98"/>
      <c r="S511" s="98">
        <f t="shared" si="516"/>
        <v>0</v>
      </c>
      <c r="T511" s="98">
        <f t="shared" si="516"/>
        <v>1994049.8330052672</v>
      </c>
      <c r="U511" s="98">
        <f t="shared" si="516"/>
        <v>0</v>
      </c>
      <c r="V511" s="98">
        <f t="shared" si="516"/>
        <v>3229634.5506149135</v>
      </c>
      <c r="W511" s="98">
        <f t="shared" si="516"/>
        <v>4622578.0684519485</v>
      </c>
      <c r="X511" s="98">
        <f t="shared" si="516"/>
        <v>569935.50893204357</v>
      </c>
      <c r="Y511" s="98">
        <f t="shared" si="516"/>
        <v>815749.07090328517</v>
      </c>
      <c r="Z511" s="98">
        <f t="shared" si="516"/>
        <v>2006023.9842778039</v>
      </c>
      <c r="AA511" s="98">
        <f t="shared" si="516"/>
        <v>1716417.9980525055</v>
      </c>
      <c r="AB511" s="98">
        <f t="shared" si="516"/>
        <v>1150626.1631453321</v>
      </c>
      <c r="AC511" s="98">
        <f t="shared" si="516"/>
        <v>911836.72818265168</v>
      </c>
      <c r="AD511" s="98">
        <f t="shared" si="516"/>
        <v>1339237.6003891721</v>
      </c>
      <c r="AE511" s="98"/>
      <c r="AF511" s="98">
        <f t="shared" si="516"/>
        <v>11223597.41541332</v>
      </c>
      <c r="AG511" s="98"/>
      <c r="AH511" s="98">
        <f t="shared" si="516"/>
        <v>1456176.4356822884</v>
      </c>
      <c r="AI511" s="98"/>
      <c r="AJ511" s="98">
        <f t="shared" si="516"/>
        <v>0</v>
      </c>
      <c r="AK511" s="98">
        <f>SUM(H511:AJ511)</f>
        <v>77114147.55036734</v>
      </c>
      <c r="AL511" s="95" t="str">
        <f>IF(ABS(AK511-F511)&lt;1,"ok","err")</f>
        <v>ok</v>
      </c>
    </row>
    <row r="512" spans="1:38" x14ac:dyDescent="0.25">
      <c r="F512" s="98"/>
      <c r="H512" s="98"/>
      <c r="I512" s="98"/>
      <c r="J512" s="98"/>
      <c r="K512" s="98"/>
      <c r="L512" s="98"/>
      <c r="M512" s="98"/>
      <c r="N512" s="98"/>
      <c r="O512" s="98"/>
      <c r="P512" s="98"/>
      <c r="Q512" s="98"/>
      <c r="R512" s="98"/>
      <c r="S512" s="98"/>
      <c r="T512" s="98"/>
      <c r="U512" s="98"/>
      <c r="V512" s="98"/>
      <c r="W512" s="98"/>
      <c r="X512" s="98"/>
      <c r="Y512" s="98"/>
      <c r="Z512" s="98"/>
      <c r="AA512" s="98"/>
      <c r="AB512" s="98"/>
      <c r="AC512" s="98"/>
      <c r="AD512" s="98"/>
      <c r="AE512" s="98"/>
      <c r="AF512" s="98"/>
      <c r="AG512" s="98"/>
      <c r="AH512" s="98"/>
      <c r="AI512" s="98"/>
      <c r="AJ512" s="98"/>
      <c r="AL512" s="95"/>
    </row>
    <row r="513" spans="1:38" x14ac:dyDescent="0.25">
      <c r="F513" s="98"/>
      <c r="H513" s="98"/>
      <c r="I513" s="98"/>
      <c r="J513" s="98"/>
      <c r="K513" s="98"/>
      <c r="L513" s="98"/>
      <c r="M513" s="98"/>
      <c r="N513" s="98"/>
      <c r="O513" s="98"/>
      <c r="P513" s="98"/>
      <c r="Q513" s="98"/>
      <c r="R513" s="98"/>
      <c r="S513" s="98"/>
      <c r="T513" s="98"/>
      <c r="U513" s="98"/>
      <c r="V513" s="98"/>
      <c r="W513" s="98"/>
      <c r="X513" s="98"/>
      <c r="Y513" s="98"/>
      <c r="Z513" s="98"/>
      <c r="AA513" s="98"/>
      <c r="AB513" s="98"/>
      <c r="AC513" s="98"/>
      <c r="AD513" s="98"/>
      <c r="AE513" s="98"/>
      <c r="AF513" s="98"/>
      <c r="AG513" s="98"/>
      <c r="AH513" s="98"/>
      <c r="AI513" s="98"/>
      <c r="AJ513" s="98"/>
      <c r="AL513" s="95"/>
    </row>
    <row r="514" spans="1:38" x14ac:dyDescent="0.25">
      <c r="F514" s="98"/>
      <c r="H514" s="98"/>
      <c r="I514" s="98"/>
      <c r="J514" s="98"/>
      <c r="K514" s="98"/>
      <c r="L514" s="98"/>
      <c r="M514" s="98"/>
      <c r="N514" s="98"/>
      <c r="O514" s="98"/>
      <c r="P514" s="98"/>
      <c r="Q514" s="98"/>
      <c r="R514" s="98"/>
      <c r="S514" s="98"/>
      <c r="T514" s="98"/>
      <c r="U514" s="98"/>
      <c r="V514" s="98"/>
      <c r="W514" s="98"/>
      <c r="X514" s="98"/>
      <c r="Y514" s="98"/>
      <c r="Z514" s="98"/>
      <c r="AA514" s="98"/>
      <c r="AB514" s="98"/>
      <c r="AC514" s="98"/>
      <c r="AD514" s="98"/>
      <c r="AE514" s="98"/>
      <c r="AF514" s="98"/>
      <c r="AG514" s="98"/>
      <c r="AH514" s="98"/>
      <c r="AI514" s="98"/>
      <c r="AJ514" s="98"/>
      <c r="AL514" s="95"/>
    </row>
    <row r="515" spans="1:38" x14ac:dyDescent="0.25">
      <c r="F515" s="98"/>
      <c r="H515" s="98"/>
      <c r="I515" s="98"/>
      <c r="J515" s="98"/>
      <c r="K515" s="98"/>
      <c r="L515" s="98"/>
      <c r="M515" s="98"/>
      <c r="N515" s="98"/>
      <c r="O515" s="98"/>
      <c r="P515" s="98"/>
      <c r="Q515" s="98"/>
      <c r="R515" s="98"/>
      <c r="S515" s="98"/>
      <c r="T515" s="98"/>
      <c r="U515" s="98"/>
      <c r="V515" s="98"/>
      <c r="W515" s="98"/>
      <c r="X515" s="98"/>
      <c r="Y515" s="98"/>
      <c r="Z515" s="98"/>
      <c r="AA515" s="98"/>
      <c r="AB515" s="98"/>
      <c r="AC515" s="98"/>
      <c r="AD515" s="98"/>
      <c r="AE515" s="98"/>
      <c r="AF515" s="98"/>
      <c r="AG515" s="98"/>
      <c r="AH515" s="98"/>
      <c r="AI515" s="98"/>
      <c r="AJ515" s="98"/>
      <c r="AL515" s="95"/>
    </row>
    <row r="516" spans="1:38" x14ac:dyDescent="0.25">
      <c r="F516" s="98"/>
      <c r="H516" s="98"/>
      <c r="I516" s="98"/>
      <c r="J516" s="98"/>
      <c r="K516" s="98"/>
      <c r="L516" s="98"/>
      <c r="M516" s="98"/>
      <c r="N516" s="98"/>
      <c r="O516" s="98"/>
      <c r="P516" s="98"/>
      <c r="Q516" s="98"/>
      <c r="R516" s="98"/>
      <c r="S516" s="98"/>
      <c r="T516" s="98"/>
      <c r="U516" s="98"/>
      <c r="V516" s="98"/>
      <c r="W516" s="98"/>
      <c r="X516" s="98"/>
      <c r="Y516" s="98"/>
      <c r="Z516" s="98"/>
      <c r="AA516" s="98"/>
      <c r="AB516" s="98"/>
      <c r="AC516" s="98"/>
      <c r="AD516" s="98"/>
      <c r="AE516" s="98"/>
      <c r="AF516" s="98"/>
      <c r="AG516" s="98"/>
      <c r="AH516" s="98"/>
      <c r="AI516" s="98"/>
      <c r="AJ516" s="98"/>
      <c r="AL516" s="95"/>
    </row>
    <row r="517" spans="1:38" x14ac:dyDescent="0.25">
      <c r="A517" s="15" t="s">
        <v>1253</v>
      </c>
      <c r="F517" s="98"/>
      <c r="H517" s="98"/>
      <c r="I517" s="98"/>
      <c r="J517" s="98"/>
      <c r="K517" s="98"/>
      <c r="L517" s="98"/>
      <c r="M517" s="98"/>
      <c r="N517" s="98"/>
      <c r="O517" s="98"/>
      <c r="P517" s="98"/>
      <c r="Q517" s="98"/>
      <c r="R517" s="98"/>
      <c r="S517" s="98"/>
      <c r="T517" s="98"/>
      <c r="U517" s="98"/>
      <c r="V517" s="98"/>
      <c r="W517" s="98"/>
      <c r="X517" s="98"/>
      <c r="Y517" s="98"/>
      <c r="Z517" s="98"/>
      <c r="AA517" s="98"/>
      <c r="AB517" s="98"/>
      <c r="AC517" s="98"/>
      <c r="AD517" s="98"/>
      <c r="AE517" s="98"/>
      <c r="AF517" s="98"/>
      <c r="AG517" s="98"/>
      <c r="AH517" s="98"/>
      <c r="AI517" s="98"/>
      <c r="AJ517" s="98"/>
      <c r="AL517" s="95"/>
    </row>
    <row r="518" spans="1:38" x14ac:dyDescent="0.25">
      <c r="F518" s="98"/>
      <c r="H518" s="98"/>
      <c r="I518" s="98"/>
      <c r="J518" s="98"/>
      <c r="K518" s="98"/>
      <c r="L518" s="98"/>
      <c r="M518" s="98"/>
      <c r="N518" s="98"/>
      <c r="O518" s="98"/>
      <c r="P518" s="98"/>
      <c r="Q518" s="98"/>
      <c r="R518" s="98"/>
      <c r="S518" s="98"/>
      <c r="T518" s="98"/>
      <c r="U518" s="98"/>
      <c r="V518" s="98"/>
      <c r="W518" s="98"/>
      <c r="X518" s="98"/>
      <c r="Y518" s="98"/>
      <c r="Z518" s="98"/>
      <c r="AA518" s="98"/>
      <c r="AB518" s="98"/>
      <c r="AC518" s="98"/>
      <c r="AD518" s="98"/>
      <c r="AE518" s="98"/>
      <c r="AF518" s="98"/>
      <c r="AG518" s="98"/>
      <c r="AH518" s="98"/>
      <c r="AI518" s="98"/>
      <c r="AJ518" s="98"/>
      <c r="AL518" s="95"/>
    </row>
    <row r="519" spans="1:38" x14ac:dyDescent="0.25">
      <c r="A519" s="16" t="s">
        <v>1502</v>
      </c>
      <c r="F519" s="98"/>
      <c r="H519" s="98"/>
      <c r="I519" s="98"/>
      <c r="J519" s="98"/>
      <c r="K519" s="98"/>
      <c r="L519" s="98"/>
      <c r="M519" s="98"/>
      <c r="N519" s="98"/>
      <c r="O519" s="98"/>
      <c r="P519" s="98"/>
      <c r="Q519" s="98"/>
      <c r="R519" s="98"/>
      <c r="S519" s="98"/>
      <c r="T519" s="98"/>
      <c r="U519" s="98"/>
      <c r="V519" s="98"/>
      <c r="W519" s="98"/>
      <c r="X519" s="98"/>
      <c r="Y519" s="98"/>
      <c r="Z519" s="98"/>
      <c r="AA519" s="98"/>
      <c r="AB519" s="98"/>
      <c r="AC519" s="98"/>
      <c r="AD519" s="98"/>
      <c r="AE519" s="98"/>
      <c r="AF519" s="98"/>
      <c r="AG519" s="98"/>
      <c r="AH519" s="98"/>
      <c r="AI519" s="98"/>
      <c r="AJ519" s="98"/>
      <c r="AL519" s="95"/>
    </row>
    <row r="520" spans="1:38" x14ac:dyDescent="0.25">
      <c r="A520" s="94">
        <v>920</v>
      </c>
      <c r="B520" s="94" t="s">
        <v>1503</v>
      </c>
      <c r="C520" s="94" t="s">
        <v>1297</v>
      </c>
      <c r="D520" s="94" t="s">
        <v>892</v>
      </c>
      <c r="F520" s="97">
        <f>'Jurisdictional Study'!F1420</f>
        <v>19421711.445635792</v>
      </c>
      <c r="H520" s="98">
        <f t="shared" ref="H520:H532" si="517">IF(VLOOKUP($D520,$C$5:$AJ$646,6,)=0,0,((VLOOKUP($D520,$C$5:$AJ$646,6,)/VLOOKUP($D520,$C$5:$AJ$646,4,))*$F520))</f>
        <v>1937021.0555220144</v>
      </c>
      <c r="I520" s="98">
        <f t="shared" ref="I520:I532" si="518">IF(VLOOKUP($D520,$C$5:$AJ$646,7,)=0,0,((VLOOKUP($D520,$C$5:$AJ$646,7,)/VLOOKUP($D520,$C$5:$AJ$646,4,))*$F520))</f>
        <v>1825986.6476929705</v>
      </c>
      <c r="J520" s="98">
        <f t="shared" ref="J520:J532" si="519">IF(VLOOKUP($D520,$C$5:$AJ$646,8,)=0,0,((VLOOKUP($D520,$C$5:$AJ$646,8,)/VLOOKUP($D520,$C$5:$AJ$646,4,))*$F520))</f>
        <v>1875300.8926948512</v>
      </c>
      <c r="K520" s="98">
        <f t="shared" ref="K520:K532" si="520">IF(VLOOKUP($D520,$C$5:$AJ$646,9,)=0,0,((VLOOKUP($D520,$C$5:$AJ$646,9,)/VLOOKUP($D520,$C$5:$AJ$646,4,))*$F520))</f>
        <v>4793381.4063855363</v>
      </c>
      <c r="L520" s="98">
        <f t="shared" ref="L520:L532" si="521">IF(VLOOKUP($D520,$C$5:$AJ$646,10,)=0,0,((VLOOKUP($D520,$C$5:$AJ$646,10,)/VLOOKUP($D520,$C$5:$AJ$646,4,))*$F520))</f>
        <v>0</v>
      </c>
      <c r="M520" s="98">
        <f t="shared" ref="M520:M532" si="522">IF(VLOOKUP($D520,$C$5:$AJ$646,11,)=0,0,((VLOOKUP($D520,$C$5:$AJ$646,11,)/VLOOKUP($D520,$C$5:$AJ$646,4,))*$F520))</f>
        <v>0</v>
      </c>
      <c r="N520" s="98"/>
      <c r="O520" s="98">
        <f t="shared" ref="O520:O532" si="523">IF(VLOOKUP($D520,$C$5:$AJ$646,13,)=0,0,((VLOOKUP($D520,$C$5:$AJ$646,13,)/VLOOKUP($D520,$C$5:$AJ$646,4,))*$F520))</f>
        <v>403128.64852718875</v>
      </c>
      <c r="P520" s="98">
        <f t="shared" ref="P520:P532" si="524">IF(VLOOKUP($D520,$C$5:$AJ$646,14,)=0,0,((VLOOKUP($D520,$C$5:$AJ$646,14,)/VLOOKUP($D520,$C$5:$AJ$646,4,))*$F520))</f>
        <v>380020.4068069788</v>
      </c>
      <c r="Q520" s="98">
        <f t="shared" ref="Q520:Q532" si="525">IF(VLOOKUP($D520,$C$5:$AJ$646,15,)=0,0,((VLOOKUP($D520,$C$5:$AJ$646,15,)/VLOOKUP($D520,$C$5:$AJ$646,4,))*$F520))</f>
        <v>390283.58122321632</v>
      </c>
      <c r="R520" s="98"/>
      <c r="S520" s="98">
        <f t="shared" ref="S520:S532" si="526">IF(VLOOKUP($D520,$C$5:$AJ$646,17,)=0,0,((VLOOKUP($D520,$C$5:$AJ$646,17,)/VLOOKUP($D520,$C$5:$AJ$646,4,))*$F520))</f>
        <v>0</v>
      </c>
      <c r="T520" s="98">
        <f t="shared" ref="T520:T532" si="527">IF(VLOOKUP($D520,$C$5:$AJ$646,18,)=0,0,((VLOOKUP($D520,$C$5:$AJ$646,18,)/VLOOKUP($D520,$C$5:$AJ$646,4,))*$F520))</f>
        <v>502214.72576807416</v>
      </c>
      <c r="U520" s="98">
        <f t="shared" ref="U520:U532" si="528">IF(VLOOKUP($D520,$C$5:$AJ$646,19,)=0,0,((VLOOKUP($D520,$C$5:$AJ$646,19,)/VLOOKUP($D520,$C$5:$AJ$646,4,))*$F520))</f>
        <v>0</v>
      </c>
      <c r="V520" s="98">
        <f t="shared" ref="V520:V532" si="529">IF(VLOOKUP($D520,$C$5:$AJ$646,20,)=0,0,((VLOOKUP($D520,$C$5:$AJ$646,20,)/VLOOKUP($D520,$C$5:$AJ$646,4,))*$F520))</f>
        <v>813404.9627654826</v>
      </c>
      <c r="W520" s="98">
        <f t="shared" ref="W520:W532" si="530">IF(VLOOKUP($D520,$C$5:$AJ$646,21,)=0,0,((VLOOKUP($D520,$C$5:$AJ$646,21,)/VLOOKUP($D520,$C$5:$AJ$646,4,))*$F520))</f>
        <v>1164227.0612115527</v>
      </c>
      <c r="X520" s="98">
        <f t="shared" ref="X520:X532" si="531">IF(VLOOKUP($D520,$C$5:$AJ$646,22,)=0,0,((VLOOKUP($D520,$C$5:$AJ$646,22,)/VLOOKUP($D520,$C$5:$AJ$646,4,))*$F520))</f>
        <v>143542.05225273225</v>
      </c>
      <c r="Y520" s="98">
        <f t="shared" ref="Y520:Y532" si="532">IF(VLOOKUP($D520,$C$5:$AJ$646,23,)=0,0,((VLOOKUP($D520,$C$5:$AJ$646,23,)/VLOOKUP($D520,$C$5:$AJ$646,4,))*$F520))</f>
        <v>205451.83433145049</v>
      </c>
      <c r="Z520" s="98">
        <f t="shared" ref="Z520:Z532" si="533">IF(VLOOKUP($D520,$C$5:$AJ$646,24,)=0,0,((VLOOKUP($D520,$C$5:$AJ$646,24,)/VLOOKUP($D520,$C$5:$AJ$646,4,))*$F520))</f>
        <v>505230.49548360799</v>
      </c>
      <c r="AA520" s="98">
        <f t="shared" ref="AA520:AA532" si="534">IF(VLOOKUP($D520,$C$5:$AJ$646,25,)=0,0,((VLOOKUP($D520,$C$5:$AJ$646,25,)/VLOOKUP($D520,$C$5:$AJ$646,4,))*$F520))</f>
        <v>432291.29980978218</v>
      </c>
      <c r="AB520" s="98">
        <f t="shared" ref="AB520:AB532" si="535">IF(VLOOKUP($D520,$C$5:$AJ$646,26,)=0,0,((VLOOKUP($D520,$C$5:$AJ$646,26,)/VLOOKUP($D520,$C$5:$AJ$646,4,))*$F520))</f>
        <v>289792.85944659641</v>
      </c>
      <c r="AC520" s="98">
        <f t="shared" ref="AC520:AC532" si="536">IF(VLOOKUP($D520,$C$5:$AJ$646,27,)=0,0,((VLOOKUP($D520,$C$5:$AJ$646,27,)/VLOOKUP($D520,$C$5:$AJ$646,4,))*$F520))</f>
        <v>229652.15051789471</v>
      </c>
      <c r="AD520" s="98">
        <f t="shared" ref="AD520:AD532" si="537">IF(VLOOKUP($D520,$C$5:$AJ$646,28,)=0,0,((VLOOKUP($D520,$C$5:$AJ$646,28,)/VLOOKUP($D520,$C$5:$AJ$646,4,))*$F520))</f>
        <v>337295.9055913249</v>
      </c>
      <c r="AE520" s="98"/>
      <c r="AF520" s="98">
        <f t="shared" ref="AF520:AF532" si="538">IF(VLOOKUP($D520,$C$5:$AJ$646,30,)=0,0,((VLOOKUP($D520,$C$5:$AJ$646,30,)/VLOOKUP($D520,$C$5:$AJ$646,4,))*$F520))</f>
        <v>2826737.7298279274</v>
      </c>
      <c r="AG520" s="98"/>
      <c r="AH520" s="98">
        <f t="shared" ref="AH520:AH532" si="539">IF(VLOOKUP($D520,$C$5:$AJ$646,32,)=0,0,((VLOOKUP($D520,$C$5:$AJ$646,32,)/VLOOKUP($D520,$C$5:$AJ$646,4,))*$F520))</f>
        <v>366747.72977661109</v>
      </c>
      <c r="AI520" s="98"/>
      <c r="AJ520" s="98">
        <f t="shared" ref="AJ520:AJ532" si="540">IF(VLOOKUP($D520,$C$5:$AJ$646,34,)=0,0,((VLOOKUP($D520,$C$5:$AJ$646,34,)/VLOOKUP($D520,$C$5:$AJ$646,4,))*$F520))</f>
        <v>0</v>
      </c>
      <c r="AK520" s="98">
        <f t="shared" ref="AK520:AK532" si="541">SUM(H520:AJ520)</f>
        <v>19421711.445635792</v>
      </c>
      <c r="AL520" s="95" t="str">
        <f t="shared" ref="AL520:AL532" si="542">IF(ABS(AK520-F520)&lt;1,"ok","err")</f>
        <v>ok</v>
      </c>
    </row>
    <row r="521" spans="1:38" x14ac:dyDescent="0.25">
      <c r="A521" s="94">
        <v>921</v>
      </c>
      <c r="B521" s="94" t="s">
        <v>1505</v>
      </c>
      <c r="C521" s="94" t="s">
        <v>1298</v>
      </c>
      <c r="D521" s="94" t="s">
        <v>892</v>
      </c>
      <c r="F521" s="98">
        <f>'Jurisdictional Study'!F1421</f>
        <v>34618.875139684627</v>
      </c>
      <c r="H521" s="98">
        <f t="shared" si="517"/>
        <v>3452.7075665685002</v>
      </c>
      <c r="I521" s="98">
        <f t="shared" si="518"/>
        <v>3254.7905955743581</v>
      </c>
      <c r="J521" s="98">
        <f t="shared" si="519"/>
        <v>3342.6924107726036</v>
      </c>
      <c r="K521" s="98">
        <f t="shared" si="520"/>
        <v>8544.1220187541767</v>
      </c>
      <c r="L521" s="98">
        <f t="shared" si="521"/>
        <v>0</v>
      </c>
      <c r="M521" s="98">
        <f t="shared" si="522"/>
        <v>0</v>
      </c>
      <c r="N521" s="98"/>
      <c r="O521" s="98">
        <f t="shared" si="523"/>
        <v>718.5700594747816</v>
      </c>
      <c r="P521" s="98">
        <f t="shared" si="524"/>
        <v>677.38000590772776</v>
      </c>
      <c r="Q521" s="98">
        <f t="shared" si="525"/>
        <v>695.67394229160766</v>
      </c>
      <c r="R521" s="98"/>
      <c r="S521" s="98">
        <f t="shared" si="526"/>
        <v>0</v>
      </c>
      <c r="T521" s="98">
        <f t="shared" si="527"/>
        <v>895.18933145218307</v>
      </c>
      <c r="U521" s="98">
        <f t="shared" si="528"/>
        <v>0</v>
      </c>
      <c r="V521" s="98">
        <f t="shared" si="529"/>
        <v>1449.8807132831566</v>
      </c>
      <c r="W521" s="98">
        <f t="shared" si="530"/>
        <v>2075.2152239076431</v>
      </c>
      <c r="X521" s="98">
        <f t="shared" si="531"/>
        <v>255.86130234408648</v>
      </c>
      <c r="Y521" s="98">
        <f t="shared" si="532"/>
        <v>366.21445127781936</v>
      </c>
      <c r="Z521" s="98">
        <f t="shared" si="533"/>
        <v>900.5648904251575</v>
      </c>
      <c r="AA521" s="98">
        <f t="shared" si="534"/>
        <v>770.55199661354618</v>
      </c>
      <c r="AB521" s="98">
        <f t="shared" si="535"/>
        <v>516.5509149714112</v>
      </c>
      <c r="AC521" s="98">
        <f t="shared" si="536"/>
        <v>409.3511092775272</v>
      </c>
      <c r="AD521" s="98">
        <f t="shared" si="537"/>
        <v>601.22429856287454</v>
      </c>
      <c r="AE521" s="98"/>
      <c r="AF521" s="98">
        <f t="shared" si="538"/>
        <v>5038.6126266713818</v>
      </c>
      <c r="AG521" s="98"/>
      <c r="AH521" s="98">
        <f t="shared" si="539"/>
        <v>653.72168155408747</v>
      </c>
      <c r="AI521" s="98"/>
      <c r="AJ521" s="98">
        <f t="shared" si="540"/>
        <v>0</v>
      </c>
      <c r="AK521" s="98">
        <f t="shared" si="541"/>
        <v>34618.875139684635</v>
      </c>
      <c r="AL521" s="95" t="str">
        <f t="shared" si="542"/>
        <v>ok</v>
      </c>
    </row>
    <row r="522" spans="1:38" x14ac:dyDescent="0.25">
      <c r="A522" s="94">
        <v>922</v>
      </c>
      <c r="B522" s="94" t="s">
        <v>1172</v>
      </c>
      <c r="C522" s="94" t="s">
        <v>2204</v>
      </c>
      <c r="D522" s="94" t="s">
        <v>892</v>
      </c>
      <c r="F522" s="98">
        <f>'Jurisdictional Study'!F1422</f>
        <v>-1884219.0815166878</v>
      </c>
      <c r="H522" s="98">
        <f t="shared" si="517"/>
        <v>-187922.26649697789</v>
      </c>
      <c r="I522" s="98">
        <f t="shared" si="518"/>
        <v>-177150.13910120184</v>
      </c>
      <c r="J522" s="98">
        <f t="shared" si="519"/>
        <v>-181934.41579500536</v>
      </c>
      <c r="K522" s="98">
        <f t="shared" si="520"/>
        <v>-465035.26407444564</v>
      </c>
      <c r="L522" s="98">
        <f t="shared" si="521"/>
        <v>0</v>
      </c>
      <c r="M522" s="98">
        <f t="shared" si="522"/>
        <v>0</v>
      </c>
      <c r="N522" s="98"/>
      <c r="O522" s="98">
        <f t="shared" si="523"/>
        <v>-39109.977201913753</v>
      </c>
      <c r="P522" s="98">
        <f t="shared" si="524"/>
        <v>-36868.105258166819</v>
      </c>
      <c r="Q522" s="98">
        <f t="shared" si="525"/>
        <v>-37863.798615373707</v>
      </c>
      <c r="R522" s="98"/>
      <c r="S522" s="98">
        <f t="shared" si="526"/>
        <v>0</v>
      </c>
      <c r="T522" s="98">
        <f t="shared" si="527"/>
        <v>-48722.923927670287</v>
      </c>
      <c r="U522" s="98">
        <f t="shared" si="528"/>
        <v>0</v>
      </c>
      <c r="V522" s="98">
        <f t="shared" si="529"/>
        <v>-78913.393195710756</v>
      </c>
      <c r="W522" s="98">
        <f t="shared" si="530"/>
        <v>-112948.79187620906</v>
      </c>
      <c r="X522" s="98">
        <f t="shared" si="531"/>
        <v>-13925.892916890136</v>
      </c>
      <c r="Y522" s="98">
        <f t="shared" si="532"/>
        <v>-19932.139742860421</v>
      </c>
      <c r="Z522" s="98">
        <f t="shared" si="533"/>
        <v>-49015.502203244752</v>
      </c>
      <c r="AA522" s="98">
        <f t="shared" si="534"/>
        <v>-41939.224468205881</v>
      </c>
      <c r="AB522" s="98">
        <f t="shared" si="535"/>
        <v>-28114.578727265474</v>
      </c>
      <c r="AC522" s="98">
        <f t="shared" si="536"/>
        <v>-22279.960513695827</v>
      </c>
      <c r="AD522" s="98">
        <f t="shared" si="537"/>
        <v>-32723.139936024345</v>
      </c>
      <c r="AE522" s="98"/>
      <c r="AF522" s="98">
        <f t="shared" si="538"/>
        <v>-274239.12583058077</v>
      </c>
      <c r="AG522" s="98"/>
      <c r="AH522" s="98">
        <f t="shared" si="539"/>
        <v>-35580.441635245123</v>
      </c>
      <c r="AI522" s="98"/>
      <c r="AJ522" s="98">
        <f t="shared" si="540"/>
        <v>0</v>
      </c>
      <c r="AK522" s="98">
        <f>SUM(H522:AJ522)</f>
        <v>-1884219.0815166878</v>
      </c>
      <c r="AL522" s="95" t="str">
        <f>IF(ABS(AK522-F522)&lt;1,"ok","err")</f>
        <v>ok</v>
      </c>
    </row>
    <row r="523" spans="1:38" x14ac:dyDescent="0.25">
      <c r="A523" s="94">
        <v>923</v>
      </c>
      <c r="B523" s="94" t="s">
        <v>1507</v>
      </c>
      <c r="C523" s="94" t="s">
        <v>1299</v>
      </c>
      <c r="D523" s="94" t="s">
        <v>892</v>
      </c>
      <c r="F523" s="98">
        <f>'Jurisdictional Study'!F1423</f>
        <v>0</v>
      </c>
      <c r="H523" s="98">
        <f t="shared" si="517"/>
        <v>0</v>
      </c>
      <c r="I523" s="98">
        <f t="shared" si="518"/>
        <v>0</v>
      </c>
      <c r="J523" s="98">
        <f t="shared" si="519"/>
        <v>0</v>
      </c>
      <c r="K523" s="98">
        <f t="shared" si="520"/>
        <v>0</v>
      </c>
      <c r="L523" s="98">
        <f t="shared" si="521"/>
        <v>0</v>
      </c>
      <c r="M523" s="98">
        <f t="shared" si="522"/>
        <v>0</v>
      </c>
      <c r="N523" s="98"/>
      <c r="O523" s="98">
        <f t="shared" si="523"/>
        <v>0</v>
      </c>
      <c r="P523" s="98">
        <f t="shared" si="524"/>
        <v>0</v>
      </c>
      <c r="Q523" s="98">
        <f t="shared" si="525"/>
        <v>0</v>
      </c>
      <c r="R523" s="98"/>
      <c r="S523" s="98">
        <f t="shared" si="526"/>
        <v>0</v>
      </c>
      <c r="T523" s="98">
        <f t="shared" si="527"/>
        <v>0</v>
      </c>
      <c r="U523" s="98">
        <f t="shared" si="528"/>
        <v>0</v>
      </c>
      <c r="V523" s="98">
        <f t="shared" si="529"/>
        <v>0</v>
      </c>
      <c r="W523" s="98">
        <f t="shared" si="530"/>
        <v>0</v>
      </c>
      <c r="X523" s="98">
        <f t="shared" si="531"/>
        <v>0</v>
      </c>
      <c r="Y523" s="98">
        <f t="shared" si="532"/>
        <v>0</v>
      </c>
      <c r="Z523" s="98">
        <f t="shared" si="533"/>
        <v>0</v>
      </c>
      <c r="AA523" s="98">
        <f t="shared" si="534"/>
        <v>0</v>
      </c>
      <c r="AB523" s="98">
        <f t="shared" si="535"/>
        <v>0</v>
      </c>
      <c r="AC523" s="98">
        <f t="shared" si="536"/>
        <v>0</v>
      </c>
      <c r="AD523" s="98">
        <f t="shared" si="537"/>
        <v>0</v>
      </c>
      <c r="AE523" s="98"/>
      <c r="AF523" s="98">
        <f t="shared" si="538"/>
        <v>0</v>
      </c>
      <c r="AG523" s="98"/>
      <c r="AH523" s="98">
        <f t="shared" si="539"/>
        <v>0</v>
      </c>
      <c r="AI523" s="98"/>
      <c r="AJ523" s="98">
        <f t="shared" si="540"/>
        <v>0</v>
      </c>
      <c r="AK523" s="98">
        <f t="shared" si="541"/>
        <v>0</v>
      </c>
      <c r="AL523" s="95" t="str">
        <f t="shared" si="542"/>
        <v>ok</v>
      </c>
    </row>
    <row r="524" spans="1:38" x14ac:dyDescent="0.25">
      <c r="A524" s="94">
        <v>924</v>
      </c>
      <c r="B524" s="94" t="s">
        <v>1509</v>
      </c>
      <c r="C524" s="94" t="s">
        <v>1300</v>
      </c>
      <c r="D524" s="94" t="s">
        <v>213</v>
      </c>
      <c r="F524" s="98">
        <f>'Jurisdictional Study'!F1424</f>
        <v>0</v>
      </c>
      <c r="H524" s="98">
        <f t="shared" si="517"/>
        <v>0</v>
      </c>
      <c r="I524" s="98">
        <f t="shared" si="518"/>
        <v>0</v>
      </c>
      <c r="J524" s="98">
        <f t="shared" si="519"/>
        <v>0</v>
      </c>
      <c r="K524" s="98">
        <f t="shared" si="520"/>
        <v>0</v>
      </c>
      <c r="L524" s="98">
        <f t="shared" si="521"/>
        <v>0</v>
      </c>
      <c r="M524" s="98">
        <f t="shared" si="522"/>
        <v>0</v>
      </c>
      <c r="N524" s="98"/>
      <c r="O524" s="98">
        <f t="shared" si="523"/>
        <v>0</v>
      </c>
      <c r="P524" s="98">
        <f t="shared" si="524"/>
        <v>0</v>
      </c>
      <c r="Q524" s="98">
        <f t="shared" si="525"/>
        <v>0</v>
      </c>
      <c r="R524" s="98"/>
      <c r="S524" s="98">
        <f t="shared" si="526"/>
        <v>0</v>
      </c>
      <c r="T524" s="98">
        <f t="shared" si="527"/>
        <v>0</v>
      </c>
      <c r="U524" s="98">
        <f t="shared" si="528"/>
        <v>0</v>
      </c>
      <c r="V524" s="98">
        <f t="shared" si="529"/>
        <v>0</v>
      </c>
      <c r="W524" s="98">
        <f t="shared" si="530"/>
        <v>0</v>
      </c>
      <c r="X524" s="98">
        <f t="shared" si="531"/>
        <v>0</v>
      </c>
      <c r="Y524" s="98">
        <f t="shared" si="532"/>
        <v>0</v>
      </c>
      <c r="Z524" s="98">
        <f t="shared" si="533"/>
        <v>0</v>
      </c>
      <c r="AA524" s="98">
        <f t="shared" si="534"/>
        <v>0</v>
      </c>
      <c r="AB524" s="98">
        <f t="shared" si="535"/>
        <v>0</v>
      </c>
      <c r="AC524" s="98">
        <f t="shared" si="536"/>
        <v>0</v>
      </c>
      <c r="AD524" s="98">
        <f t="shared" si="537"/>
        <v>0</v>
      </c>
      <c r="AE524" s="98"/>
      <c r="AF524" s="98">
        <f t="shared" si="538"/>
        <v>0</v>
      </c>
      <c r="AG524" s="98"/>
      <c r="AH524" s="98">
        <f t="shared" si="539"/>
        <v>0</v>
      </c>
      <c r="AI524" s="98"/>
      <c r="AJ524" s="98">
        <f t="shared" si="540"/>
        <v>0</v>
      </c>
      <c r="AK524" s="98">
        <f t="shared" si="541"/>
        <v>0</v>
      </c>
      <c r="AL524" s="95" t="str">
        <f t="shared" si="542"/>
        <v>ok</v>
      </c>
    </row>
    <row r="525" spans="1:38" x14ac:dyDescent="0.25">
      <c r="A525" s="94">
        <v>925</v>
      </c>
      <c r="B525" s="94" t="s">
        <v>1485</v>
      </c>
      <c r="C525" s="94" t="s">
        <v>1301</v>
      </c>
      <c r="D525" s="94" t="s">
        <v>892</v>
      </c>
      <c r="F525" s="98">
        <f>'Jurisdictional Study'!F1425</f>
        <v>795435.89292881254</v>
      </c>
      <c r="H525" s="98">
        <f t="shared" si="517"/>
        <v>79332.662172122262</v>
      </c>
      <c r="I525" s="98">
        <f t="shared" si="518"/>
        <v>74785.135370246935</v>
      </c>
      <c r="J525" s="98">
        <f t="shared" si="519"/>
        <v>76804.85029686302</v>
      </c>
      <c r="K525" s="98">
        <f t="shared" si="520"/>
        <v>196317.79772906771</v>
      </c>
      <c r="L525" s="98">
        <f t="shared" si="521"/>
        <v>0</v>
      </c>
      <c r="M525" s="98">
        <f t="shared" si="522"/>
        <v>0</v>
      </c>
      <c r="N525" s="98"/>
      <c r="O525" s="98">
        <f t="shared" si="523"/>
        <v>16510.542719368084</v>
      </c>
      <c r="P525" s="98">
        <f t="shared" si="524"/>
        <v>15564.12123956279</v>
      </c>
      <c r="Q525" s="98">
        <f t="shared" si="525"/>
        <v>15984.459958368052</v>
      </c>
      <c r="R525" s="98"/>
      <c r="S525" s="98">
        <f t="shared" si="526"/>
        <v>0</v>
      </c>
      <c r="T525" s="98">
        <f t="shared" si="527"/>
        <v>20568.713522056416</v>
      </c>
      <c r="U525" s="98">
        <f t="shared" si="528"/>
        <v>0</v>
      </c>
      <c r="V525" s="98">
        <f t="shared" si="529"/>
        <v>33313.825338264804</v>
      </c>
      <c r="W525" s="98">
        <f t="shared" si="530"/>
        <v>47682.10024121192</v>
      </c>
      <c r="X525" s="98">
        <f t="shared" si="531"/>
        <v>5878.9103538114368</v>
      </c>
      <c r="Y525" s="98">
        <f t="shared" si="532"/>
        <v>8414.4882778609281</v>
      </c>
      <c r="Z525" s="98">
        <f t="shared" si="533"/>
        <v>20692.227429842456</v>
      </c>
      <c r="AA525" s="98">
        <f t="shared" si="534"/>
        <v>17704.928684172119</v>
      </c>
      <c r="AB525" s="98">
        <f t="shared" si="535"/>
        <v>11868.760513898738</v>
      </c>
      <c r="AC525" s="98">
        <f t="shared" si="536"/>
        <v>9405.6367751911894</v>
      </c>
      <c r="AD525" s="98">
        <f t="shared" si="537"/>
        <v>13814.295954106376</v>
      </c>
      <c r="AE525" s="98"/>
      <c r="AF525" s="98">
        <f t="shared" si="538"/>
        <v>115771.91106433078</v>
      </c>
      <c r="AG525" s="98"/>
      <c r="AH525" s="98">
        <f t="shared" si="539"/>
        <v>15020.525288466592</v>
      </c>
      <c r="AI525" s="98"/>
      <c r="AJ525" s="98">
        <f t="shared" si="540"/>
        <v>0</v>
      </c>
      <c r="AK525" s="98">
        <f t="shared" si="541"/>
        <v>795435.89292881265</v>
      </c>
      <c r="AL525" s="95" t="str">
        <f t="shared" si="542"/>
        <v>ok</v>
      </c>
    </row>
    <row r="526" spans="1:38" x14ac:dyDescent="0.25">
      <c r="A526" s="94">
        <v>926</v>
      </c>
      <c r="B526" s="94" t="s">
        <v>1487</v>
      </c>
      <c r="C526" s="94" t="s">
        <v>1302</v>
      </c>
      <c r="D526" s="94" t="s">
        <v>892</v>
      </c>
      <c r="F526" s="98">
        <f>'Jurisdictional Study'!F1426</f>
        <v>34920649.602109082</v>
      </c>
      <c r="H526" s="98">
        <f t="shared" si="517"/>
        <v>3482804.9907512879</v>
      </c>
      <c r="I526" s="98">
        <f t="shared" si="518"/>
        <v>3283162.7676429325</v>
      </c>
      <c r="J526" s="98">
        <f t="shared" si="519"/>
        <v>3371830.82735145</v>
      </c>
      <c r="K526" s="98">
        <f t="shared" si="520"/>
        <v>8618601.556829717</v>
      </c>
      <c r="L526" s="98">
        <f t="shared" si="521"/>
        <v>0</v>
      </c>
      <c r="M526" s="98">
        <f t="shared" si="522"/>
        <v>0</v>
      </c>
      <c r="N526" s="98"/>
      <c r="O526" s="98">
        <f t="shared" si="523"/>
        <v>724833.87054713303</v>
      </c>
      <c r="P526" s="98">
        <f t="shared" si="524"/>
        <v>683284.7612273352</v>
      </c>
      <c r="Q526" s="98">
        <f t="shared" si="525"/>
        <v>701738.16676772572</v>
      </c>
      <c r="R526" s="98"/>
      <c r="S526" s="98">
        <f t="shared" si="526"/>
        <v>0</v>
      </c>
      <c r="T526" s="98">
        <f t="shared" si="527"/>
        <v>902992.74153344857</v>
      </c>
      <c r="U526" s="98">
        <f t="shared" si="528"/>
        <v>0</v>
      </c>
      <c r="V526" s="98">
        <f t="shared" si="529"/>
        <v>1462519.39582455</v>
      </c>
      <c r="W526" s="98">
        <f t="shared" si="530"/>
        <v>2093304.9785886635</v>
      </c>
      <c r="X526" s="98">
        <f t="shared" si="531"/>
        <v>258091.65808668532</v>
      </c>
      <c r="Y526" s="98">
        <f t="shared" si="532"/>
        <v>369406.7609274112</v>
      </c>
      <c r="Z526" s="98">
        <f t="shared" si="533"/>
        <v>908415.15952228522</v>
      </c>
      <c r="AA526" s="98">
        <f t="shared" si="534"/>
        <v>777268.93682636041</v>
      </c>
      <c r="AB526" s="98">
        <f t="shared" si="535"/>
        <v>521053.71507832932</v>
      </c>
      <c r="AC526" s="98">
        <f t="shared" si="536"/>
        <v>412919.44332785782</v>
      </c>
      <c r="AD526" s="98">
        <f t="shared" si="537"/>
        <v>606465.20078061731</v>
      </c>
      <c r="AE526" s="98"/>
      <c r="AF526" s="98">
        <f t="shared" si="538"/>
        <v>5082534.4644157812</v>
      </c>
      <c r="AG526" s="98"/>
      <c r="AH526" s="98">
        <f t="shared" si="539"/>
        <v>659420.2060795147</v>
      </c>
      <c r="AI526" s="98"/>
      <c r="AJ526" s="98">
        <f t="shared" si="540"/>
        <v>0</v>
      </c>
      <c r="AK526" s="98">
        <f t="shared" si="541"/>
        <v>34920649.602109089</v>
      </c>
      <c r="AL526" s="95" t="str">
        <f t="shared" si="542"/>
        <v>ok</v>
      </c>
    </row>
    <row r="527" spans="1:38" x14ac:dyDescent="0.25">
      <c r="A527" s="94">
        <v>928</v>
      </c>
      <c r="B527" s="94" t="s">
        <v>684</v>
      </c>
      <c r="C527" s="94" t="s">
        <v>1303</v>
      </c>
      <c r="D527" s="94" t="s">
        <v>213</v>
      </c>
      <c r="F527" s="98">
        <v>0</v>
      </c>
      <c r="H527" s="98">
        <f t="shared" si="517"/>
        <v>0</v>
      </c>
      <c r="I527" s="98">
        <f t="shared" si="518"/>
        <v>0</v>
      </c>
      <c r="J527" s="98">
        <f t="shared" si="519"/>
        <v>0</v>
      </c>
      <c r="K527" s="98">
        <f t="shared" si="520"/>
        <v>0</v>
      </c>
      <c r="L527" s="98">
        <f t="shared" si="521"/>
        <v>0</v>
      </c>
      <c r="M527" s="98">
        <f t="shared" si="522"/>
        <v>0</v>
      </c>
      <c r="N527" s="98"/>
      <c r="O527" s="98">
        <f t="shared" si="523"/>
        <v>0</v>
      </c>
      <c r="P527" s="98">
        <f t="shared" si="524"/>
        <v>0</v>
      </c>
      <c r="Q527" s="98">
        <f t="shared" si="525"/>
        <v>0</v>
      </c>
      <c r="R527" s="98"/>
      <c r="S527" s="98">
        <f t="shared" si="526"/>
        <v>0</v>
      </c>
      <c r="T527" s="98">
        <f t="shared" si="527"/>
        <v>0</v>
      </c>
      <c r="U527" s="98">
        <f t="shared" si="528"/>
        <v>0</v>
      </c>
      <c r="V527" s="98">
        <f t="shared" si="529"/>
        <v>0</v>
      </c>
      <c r="W527" s="98">
        <f t="shared" si="530"/>
        <v>0</v>
      </c>
      <c r="X527" s="98">
        <f t="shared" si="531"/>
        <v>0</v>
      </c>
      <c r="Y527" s="98">
        <f t="shared" si="532"/>
        <v>0</v>
      </c>
      <c r="Z527" s="98">
        <f t="shared" si="533"/>
        <v>0</v>
      </c>
      <c r="AA527" s="98">
        <f t="shared" si="534"/>
        <v>0</v>
      </c>
      <c r="AB527" s="98">
        <f t="shared" si="535"/>
        <v>0</v>
      </c>
      <c r="AC527" s="98">
        <f t="shared" si="536"/>
        <v>0</v>
      </c>
      <c r="AD527" s="98">
        <f t="shared" si="537"/>
        <v>0</v>
      </c>
      <c r="AE527" s="98"/>
      <c r="AF527" s="98">
        <f t="shared" si="538"/>
        <v>0</v>
      </c>
      <c r="AG527" s="98"/>
      <c r="AH527" s="98">
        <f t="shared" si="539"/>
        <v>0</v>
      </c>
      <c r="AI527" s="98"/>
      <c r="AJ527" s="98">
        <f t="shared" si="540"/>
        <v>0</v>
      </c>
      <c r="AK527" s="98">
        <f t="shared" si="541"/>
        <v>0</v>
      </c>
      <c r="AL527" s="95" t="str">
        <f t="shared" si="542"/>
        <v>ok</v>
      </c>
    </row>
    <row r="528" spans="1:38" x14ac:dyDescent="0.25">
      <c r="A528" s="94">
        <v>929</v>
      </c>
      <c r="B528" s="94" t="s">
        <v>581</v>
      </c>
      <c r="C528" s="94" t="s">
        <v>1304</v>
      </c>
      <c r="D528" s="94" t="s">
        <v>892</v>
      </c>
      <c r="F528" s="98">
        <f>'Jurisdictional Study'!F1428</f>
        <v>0</v>
      </c>
      <c r="H528" s="98">
        <f t="shared" si="517"/>
        <v>0</v>
      </c>
      <c r="I528" s="98">
        <f t="shared" si="518"/>
        <v>0</v>
      </c>
      <c r="J528" s="98">
        <f t="shared" si="519"/>
        <v>0</v>
      </c>
      <c r="K528" s="98">
        <f t="shared" si="520"/>
        <v>0</v>
      </c>
      <c r="L528" s="98">
        <f t="shared" si="521"/>
        <v>0</v>
      </c>
      <c r="M528" s="98">
        <f t="shared" si="522"/>
        <v>0</v>
      </c>
      <c r="N528" s="98"/>
      <c r="O528" s="98">
        <f t="shared" si="523"/>
        <v>0</v>
      </c>
      <c r="P528" s="98">
        <f t="shared" si="524"/>
        <v>0</v>
      </c>
      <c r="Q528" s="98">
        <f t="shared" si="525"/>
        <v>0</v>
      </c>
      <c r="R528" s="98"/>
      <c r="S528" s="98">
        <f t="shared" si="526"/>
        <v>0</v>
      </c>
      <c r="T528" s="98">
        <f t="shared" si="527"/>
        <v>0</v>
      </c>
      <c r="U528" s="98">
        <f t="shared" si="528"/>
        <v>0</v>
      </c>
      <c r="V528" s="98">
        <f t="shared" si="529"/>
        <v>0</v>
      </c>
      <c r="W528" s="98">
        <f t="shared" si="530"/>
        <v>0</v>
      </c>
      <c r="X528" s="98">
        <f t="shared" si="531"/>
        <v>0</v>
      </c>
      <c r="Y528" s="98">
        <f t="shared" si="532"/>
        <v>0</v>
      </c>
      <c r="Z528" s="98">
        <f t="shared" si="533"/>
        <v>0</v>
      </c>
      <c r="AA528" s="98">
        <f t="shared" si="534"/>
        <v>0</v>
      </c>
      <c r="AB528" s="98">
        <f t="shared" si="535"/>
        <v>0</v>
      </c>
      <c r="AC528" s="98">
        <f t="shared" si="536"/>
        <v>0</v>
      </c>
      <c r="AD528" s="98">
        <f t="shared" si="537"/>
        <v>0</v>
      </c>
      <c r="AE528" s="98"/>
      <c r="AF528" s="98">
        <f t="shared" si="538"/>
        <v>0</v>
      </c>
      <c r="AG528" s="98"/>
      <c r="AH528" s="98">
        <f t="shared" si="539"/>
        <v>0</v>
      </c>
      <c r="AI528" s="98"/>
      <c r="AJ528" s="98">
        <f t="shared" si="540"/>
        <v>0</v>
      </c>
      <c r="AK528" s="98">
        <f t="shared" si="541"/>
        <v>0</v>
      </c>
      <c r="AL528" s="95" t="str">
        <f t="shared" si="542"/>
        <v>ok</v>
      </c>
    </row>
    <row r="529" spans="1:38" x14ac:dyDescent="0.25">
      <c r="A529" s="94">
        <v>930</v>
      </c>
      <c r="B529" s="94" t="s">
        <v>314</v>
      </c>
      <c r="C529" s="94" t="s">
        <v>1305</v>
      </c>
      <c r="D529" s="94" t="s">
        <v>892</v>
      </c>
      <c r="F529" s="98">
        <f>'Jurisdictional Study'!F1429</f>
        <v>30997.191153286592</v>
      </c>
      <c r="H529" s="98">
        <f t="shared" si="517"/>
        <v>3091.4995361775282</v>
      </c>
      <c r="I529" s="98">
        <f t="shared" si="518"/>
        <v>2914.2878226937382</v>
      </c>
      <c r="J529" s="98">
        <f t="shared" si="519"/>
        <v>2992.9937123977475</v>
      </c>
      <c r="K529" s="98">
        <f t="shared" si="520"/>
        <v>7650.2711998498753</v>
      </c>
      <c r="L529" s="98">
        <f t="shared" si="521"/>
        <v>0</v>
      </c>
      <c r="M529" s="98">
        <f t="shared" si="522"/>
        <v>0</v>
      </c>
      <c r="N529" s="98"/>
      <c r="O529" s="98">
        <f t="shared" si="523"/>
        <v>643.39622245655755</v>
      </c>
      <c r="P529" s="98">
        <f t="shared" si="524"/>
        <v>606.51530247055621</v>
      </c>
      <c r="Q529" s="98">
        <f t="shared" si="525"/>
        <v>622.89540265431833</v>
      </c>
      <c r="R529" s="98"/>
      <c r="S529" s="98">
        <f t="shared" si="526"/>
        <v>0</v>
      </c>
      <c r="T529" s="98">
        <f t="shared" si="527"/>
        <v>801.53831438611348</v>
      </c>
      <c r="U529" s="98">
        <f t="shared" si="528"/>
        <v>0</v>
      </c>
      <c r="V529" s="98">
        <f t="shared" si="529"/>
        <v>1298.2001707959287</v>
      </c>
      <c r="W529" s="98">
        <f t="shared" si="530"/>
        <v>1858.1147631205688</v>
      </c>
      <c r="X529" s="98">
        <f t="shared" si="531"/>
        <v>229.09414778751687</v>
      </c>
      <c r="Y529" s="98">
        <f t="shared" si="532"/>
        <v>327.90260525657095</v>
      </c>
      <c r="Z529" s="98">
        <f t="shared" si="533"/>
        <v>806.35150454231371</v>
      </c>
      <c r="AA529" s="98">
        <f t="shared" si="534"/>
        <v>689.94002364902724</v>
      </c>
      <c r="AB529" s="98">
        <f t="shared" si="535"/>
        <v>462.51148794315748</v>
      </c>
      <c r="AC529" s="98">
        <f t="shared" si="536"/>
        <v>366.52648394516876</v>
      </c>
      <c r="AD529" s="98">
        <f t="shared" si="537"/>
        <v>538.32669124453378</v>
      </c>
      <c r="AE529" s="98"/>
      <c r="AF529" s="98">
        <f t="shared" si="538"/>
        <v>4511.4937474458648</v>
      </c>
      <c r="AG529" s="98"/>
      <c r="AH529" s="98">
        <f t="shared" si="539"/>
        <v>585.33201446950864</v>
      </c>
      <c r="AI529" s="98"/>
      <c r="AJ529" s="98">
        <f t="shared" si="540"/>
        <v>0</v>
      </c>
      <c r="AK529" s="98">
        <f t="shared" si="541"/>
        <v>30997.191153286592</v>
      </c>
      <c r="AL529" s="95" t="str">
        <f t="shared" si="542"/>
        <v>ok</v>
      </c>
    </row>
    <row r="530" spans="1:38" x14ac:dyDescent="0.25">
      <c r="A530" s="94">
        <v>931</v>
      </c>
      <c r="B530" s="94" t="s">
        <v>316</v>
      </c>
      <c r="C530" s="94" t="s">
        <v>1306</v>
      </c>
      <c r="D530" s="94" t="s">
        <v>203</v>
      </c>
      <c r="F530" s="98">
        <f>'Jurisdictional Study'!F1430</f>
        <v>0</v>
      </c>
      <c r="H530" s="98">
        <f t="shared" si="517"/>
        <v>0</v>
      </c>
      <c r="I530" s="98">
        <f t="shared" si="518"/>
        <v>0</v>
      </c>
      <c r="J530" s="98">
        <f t="shared" si="519"/>
        <v>0</v>
      </c>
      <c r="K530" s="98">
        <f t="shared" si="520"/>
        <v>0</v>
      </c>
      <c r="L530" s="98">
        <f t="shared" si="521"/>
        <v>0</v>
      </c>
      <c r="M530" s="98">
        <f t="shared" si="522"/>
        <v>0</v>
      </c>
      <c r="N530" s="98"/>
      <c r="O530" s="98">
        <f t="shared" si="523"/>
        <v>0</v>
      </c>
      <c r="P530" s="98">
        <f t="shared" si="524"/>
        <v>0</v>
      </c>
      <c r="Q530" s="98">
        <f t="shared" si="525"/>
        <v>0</v>
      </c>
      <c r="R530" s="98"/>
      <c r="S530" s="98">
        <f t="shared" si="526"/>
        <v>0</v>
      </c>
      <c r="T530" s="98">
        <f t="shared" si="527"/>
        <v>0</v>
      </c>
      <c r="U530" s="98">
        <f t="shared" si="528"/>
        <v>0</v>
      </c>
      <c r="V530" s="98">
        <f t="shared" si="529"/>
        <v>0</v>
      </c>
      <c r="W530" s="98">
        <f t="shared" si="530"/>
        <v>0</v>
      </c>
      <c r="X530" s="98">
        <f t="shared" si="531"/>
        <v>0</v>
      </c>
      <c r="Y530" s="98">
        <f t="shared" si="532"/>
        <v>0</v>
      </c>
      <c r="Z530" s="98">
        <f t="shared" si="533"/>
        <v>0</v>
      </c>
      <c r="AA530" s="98">
        <f t="shared" si="534"/>
        <v>0</v>
      </c>
      <c r="AB530" s="98">
        <f t="shared" si="535"/>
        <v>0</v>
      </c>
      <c r="AC530" s="98">
        <f t="shared" si="536"/>
        <v>0</v>
      </c>
      <c r="AD530" s="98">
        <f t="shared" si="537"/>
        <v>0</v>
      </c>
      <c r="AE530" s="98"/>
      <c r="AF530" s="98">
        <f t="shared" si="538"/>
        <v>0</v>
      </c>
      <c r="AG530" s="98"/>
      <c r="AH530" s="98">
        <f t="shared" si="539"/>
        <v>0</v>
      </c>
      <c r="AI530" s="98"/>
      <c r="AJ530" s="98">
        <f t="shared" si="540"/>
        <v>0</v>
      </c>
      <c r="AK530" s="98">
        <f t="shared" si="541"/>
        <v>0</v>
      </c>
      <c r="AL530" s="95" t="str">
        <f t="shared" si="542"/>
        <v>ok</v>
      </c>
    </row>
    <row r="531" spans="1:38" x14ac:dyDescent="0.25">
      <c r="A531" s="94">
        <v>932</v>
      </c>
      <c r="B531" s="94" t="s">
        <v>318</v>
      </c>
      <c r="C531" s="94" t="s">
        <v>1307</v>
      </c>
      <c r="D531" s="94" t="s">
        <v>203</v>
      </c>
      <c r="F531" s="98">
        <v>0</v>
      </c>
      <c r="H531" s="98">
        <f t="shared" si="517"/>
        <v>0</v>
      </c>
      <c r="I531" s="98">
        <f t="shared" si="518"/>
        <v>0</v>
      </c>
      <c r="J531" s="98">
        <f t="shared" si="519"/>
        <v>0</v>
      </c>
      <c r="K531" s="98">
        <f t="shared" si="520"/>
        <v>0</v>
      </c>
      <c r="L531" s="98">
        <f t="shared" si="521"/>
        <v>0</v>
      </c>
      <c r="M531" s="98">
        <f t="shared" si="522"/>
        <v>0</v>
      </c>
      <c r="N531" s="98"/>
      <c r="O531" s="98">
        <f t="shared" si="523"/>
        <v>0</v>
      </c>
      <c r="P531" s="98">
        <f t="shared" si="524"/>
        <v>0</v>
      </c>
      <c r="Q531" s="98">
        <f t="shared" si="525"/>
        <v>0</v>
      </c>
      <c r="R531" s="98"/>
      <c r="S531" s="98">
        <f t="shared" si="526"/>
        <v>0</v>
      </c>
      <c r="T531" s="98">
        <f t="shared" si="527"/>
        <v>0</v>
      </c>
      <c r="U531" s="98">
        <f t="shared" si="528"/>
        <v>0</v>
      </c>
      <c r="V531" s="98">
        <f t="shared" si="529"/>
        <v>0</v>
      </c>
      <c r="W531" s="98">
        <f t="shared" si="530"/>
        <v>0</v>
      </c>
      <c r="X531" s="98">
        <f t="shared" si="531"/>
        <v>0</v>
      </c>
      <c r="Y531" s="98">
        <f t="shared" si="532"/>
        <v>0</v>
      </c>
      <c r="Z531" s="98">
        <f t="shared" si="533"/>
        <v>0</v>
      </c>
      <c r="AA531" s="98">
        <f t="shared" si="534"/>
        <v>0</v>
      </c>
      <c r="AB531" s="98">
        <f t="shared" si="535"/>
        <v>0</v>
      </c>
      <c r="AC531" s="98">
        <f t="shared" si="536"/>
        <v>0</v>
      </c>
      <c r="AD531" s="98">
        <f t="shared" si="537"/>
        <v>0</v>
      </c>
      <c r="AE531" s="98"/>
      <c r="AF531" s="98">
        <f t="shared" si="538"/>
        <v>0</v>
      </c>
      <c r="AG531" s="98"/>
      <c r="AH531" s="98">
        <f t="shared" si="539"/>
        <v>0</v>
      </c>
      <c r="AI531" s="98"/>
      <c r="AJ531" s="98">
        <f t="shared" si="540"/>
        <v>0</v>
      </c>
      <c r="AK531" s="98">
        <f t="shared" si="541"/>
        <v>0</v>
      </c>
      <c r="AL531" s="95" t="str">
        <f t="shared" si="542"/>
        <v>ok</v>
      </c>
    </row>
    <row r="532" spans="1:38" x14ac:dyDescent="0.25">
      <c r="A532" s="94">
        <v>935</v>
      </c>
      <c r="B532" s="94" t="s">
        <v>318</v>
      </c>
      <c r="C532" s="94" t="s">
        <v>2205</v>
      </c>
      <c r="D532" s="94" t="s">
        <v>203</v>
      </c>
      <c r="F532" s="98">
        <f>'Jurisdictional Study'!F1431</f>
        <v>5065261.5825847471</v>
      </c>
      <c r="H532" s="98">
        <f t="shared" si="517"/>
        <v>1141244.7125249403</v>
      </c>
      <c r="I532" s="98">
        <f t="shared" si="518"/>
        <v>1075825.9962533794</v>
      </c>
      <c r="J532" s="98">
        <f t="shared" si="519"/>
        <v>1104880.7250081934</v>
      </c>
      <c r="K532" s="98">
        <f t="shared" si="520"/>
        <v>0</v>
      </c>
      <c r="L532" s="98">
        <f t="shared" si="521"/>
        <v>0</v>
      </c>
      <c r="M532" s="98">
        <f t="shared" si="522"/>
        <v>0</v>
      </c>
      <c r="N532" s="98"/>
      <c r="O532" s="98">
        <f t="shared" si="523"/>
        <v>170375.82501611626</v>
      </c>
      <c r="P532" s="98">
        <f t="shared" si="524"/>
        <v>160609.49914933258</v>
      </c>
      <c r="Q532" s="98">
        <f t="shared" si="525"/>
        <v>164947.06437780039</v>
      </c>
      <c r="R532" s="98"/>
      <c r="S532" s="98">
        <f t="shared" si="526"/>
        <v>0</v>
      </c>
      <c r="T532" s="98">
        <f t="shared" si="527"/>
        <v>135504.5372667211</v>
      </c>
      <c r="U532" s="98">
        <f t="shared" si="528"/>
        <v>0</v>
      </c>
      <c r="V532" s="98">
        <f t="shared" si="529"/>
        <v>219468.00329564913</v>
      </c>
      <c r="W532" s="98">
        <f t="shared" si="530"/>
        <v>314124.69827840058</v>
      </c>
      <c r="X532" s="98">
        <f t="shared" si="531"/>
        <v>38729.647640408672</v>
      </c>
      <c r="Y532" s="98">
        <f t="shared" si="532"/>
        <v>55433.770284423641</v>
      </c>
      <c r="Z532" s="98">
        <f t="shared" si="533"/>
        <v>136318.23399610593</v>
      </c>
      <c r="AA532" s="98">
        <f t="shared" si="534"/>
        <v>116638.22173984865</v>
      </c>
      <c r="AB532" s="98">
        <f t="shared" si="535"/>
        <v>78190.155142215604</v>
      </c>
      <c r="AC532" s="98">
        <f t="shared" si="536"/>
        <v>61963.353106865303</v>
      </c>
      <c r="AD532" s="98">
        <f t="shared" si="537"/>
        <v>91007.13950434624</v>
      </c>
      <c r="AE532" s="98"/>
      <c r="AF532" s="98">
        <f t="shared" si="538"/>
        <v>0</v>
      </c>
      <c r="AG532" s="98"/>
      <c r="AH532" s="98">
        <f t="shared" si="539"/>
        <v>0</v>
      </c>
      <c r="AI532" s="98"/>
      <c r="AJ532" s="98">
        <f t="shared" si="540"/>
        <v>0</v>
      </c>
      <c r="AK532" s="98">
        <f t="shared" si="541"/>
        <v>5065261.582584749</v>
      </c>
      <c r="AL532" s="95" t="str">
        <f t="shared" si="542"/>
        <v>ok</v>
      </c>
    </row>
    <row r="533" spans="1:38" x14ac:dyDescent="0.25">
      <c r="F533" s="98"/>
      <c r="H533" s="98"/>
      <c r="I533" s="98"/>
      <c r="J533" s="98"/>
      <c r="K533" s="98"/>
      <c r="L533" s="98"/>
      <c r="M533" s="98"/>
      <c r="N533" s="98"/>
      <c r="O533" s="98"/>
      <c r="P533" s="98"/>
      <c r="Q533" s="98"/>
      <c r="R533" s="98"/>
      <c r="S533" s="98"/>
      <c r="T533" s="98"/>
      <c r="U533" s="98"/>
      <c r="V533" s="98"/>
      <c r="W533" s="98"/>
      <c r="X533" s="98"/>
      <c r="Y533" s="98"/>
      <c r="Z533" s="98"/>
      <c r="AA533" s="98"/>
      <c r="AB533" s="98"/>
      <c r="AC533" s="98"/>
      <c r="AD533" s="98"/>
      <c r="AE533" s="98"/>
      <c r="AF533" s="98"/>
      <c r="AG533" s="98"/>
      <c r="AH533" s="98"/>
      <c r="AI533" s="98"/>
      <c r="AJ533" s="98"/>
      <c r="AK533" s="98"/>
      <c r="AL533" s="95"/>
    </row>
    <row r="534" spans="1:38" x14ac:dyDescent="0.25">
      <c r="A534" s="94" t="s">
        <v>320</v>
      </c>
      <c r="C534" s="94" t="s">
        <v>1308</v>
      </c>
      <c r="F534" s="97">
        <f>SUM(F520:F533)</f>
        <v>58384455.508034714</v>
      </c>
      <c r="G534" s="97">
        <f>SUM(G520:G533)</f>
        <v>0</v>
      </c>
      <c r="H534" s="97">
        <f t="shared" ref="H534:M534" si="543">SUM(H520:H533)</f>
        <v>6459025.3615761325</v>
      </c>
      <c r="I534" s="97">
        <f t="shared" si="543"/>
        <v>6088779.4862765959</v>
      </c>
      <c r="J534" s="97">
        <f t="shared" si="543"/>
        <v>6253218.5656795222</v>
      </c>
      <c r="K534" s="97">
        <f t="shared" si="543"/>
        <v>13159459.89008848</v>
      </c>
      <c r="L534" s="97">
        <f t="shared" si="543"/>
        <v>0</v>
      </c>
      <c r="M534" s="97">
        <f t="shared" si="543"/>
        <v>0</v>
      </c>
      <c r="N534" s="98"/>
      <c r="O534" s="97">
        <f>SUM(O520:O533)</f>
        <v>1277100.8758898238</v>
      </c>
      <c r="P534" s="97">
        <f>SUM(P520:P533)</f>
        <v>1203894.5784734208</v>
      </c>
      <c r="Q534" s="97">
        <f>SUM(Q520:Q533)</f>
        <v>1236408.0430566827</v>
      </c>
      <c r="R534" s="98"/>
      <c r="S534" s="97">
        <f t="shared" ref="S534:AD534" si="544">SUM(S520:S533)</f>
        <v>0</v>
      </c>
      <c r="T534" s="97">
        <f t="shared" si="544"/>
        <v>1514254.521808468</v>
      </c>
      <c r="U534" s="97">
        <f t="shared" si="544"/>
        <v>0</v>
      </c>
      <c r="V534" s="97">
        <f t="shared" si="544"/>
        <v>2452540.874912315</v>
      </c>
      <c r="W534" s="97">
        <f t="shared" si="544"/>
        <v>3510323.3764306484</v>
      </c>
      <c r="X534" s="97">
        <f t="shared" si="544"/>
        <v>432801.33086687914</v>
      </c>
      <c r="Y534" s="97">
        <f t="shared" si="544"/>
        <v>619468.83113482012</v>
      </c>
      <c r="Z534" s="97">
        <f t="shared" si="544"/>
        <v>1523347.5306235643</v>
      </c>
      <c r="AA534" s="97">
        <f t="shared" si="544"/>
        <v>1303424.6546122199</v>
      </c>
      <c r="AB534" s="97">
        <f t="shared" si="544"/>
        <v>873769.97385668918</v>
      </c>
      <c r="AC534" s="97">
        <f t="shared" si="544"/>
        <v>692436.50080733583</v>
      </c>
      <c r="AD534" s="97">
        <f t="shared" si="544"/>
        <v>1016998.9528841779</v>
      </c>
      <c r="AE534" s="98"/>
      <c r="AF534" s="97">
        <f>SUM(AF520:AF533)</f>
        <v>7760355.0858515752</v>
      </c>
      <c r="AG534" s="98"/>
      <c r="AH534" s="97">
        <f>SUM(AH520:AH533)</f>
        <v>1006847.0732053709</v>
      </c>
      <c r="AI534" s="98"/>
      <c r="AJ534" s="97">
        <f>SUM(AJ520:AJ533)</f>
        <v>0</v>
      </c>
      <c r="AK534" s="98">
        <f>SUM(H534:AJ534)</f>
        <v>58384455.508034714</v>
      </c>
      <c r="AL534" s="95" t="str">
        <f>IF(ABS(AK534-F534)&lt;1,"ok","err")</f>
        <v>ok</v>
      </c>
    </row>
    <row r="535" spans="1:38" x14ac:dyDescent="0.25">
      <c r="F535" s="98"/>
      <c r="H535" s="98"/>
      <c r="I535" s="98"/>
      <c r="J535" s="98"/>
      <c r="K535" s="98"/>
      <c r="L535" s="98"/>
      <c r="M535" s="98"/>
      <c r="N535" s="98"/>
      <c r="O535" s="98"/>
      <c r="P535" s="98"/>
      <c r="Q535" s="98"/>
      <c r="R535" s="98"/>
      <c r="S535" s="98"/>
      <c r="T535" s="98"/>
      <c r="U535" s="98"/>
      <c r="V535" s="98"/>
      <c r="W535" s="98"/>
      <c r="X535" s="98"/>
      <c r="Y535" s="98"/>
      <c r="Z535" s="98"/>
      <c r="AA535" s="98"/>
      <c r="AB535" s="98"/>
      <c r="AC535" s="98"/>
      <c r="AD535" s="98"/>
      <c r="AE535" s="98"/>
      <c r="AF535" s="98"/>
      <c r="AG535" s="98"/>
      <c r="AH535" s="98"/>
      <c r="AI535" s="98"/>
      <c r="AJ535" s="98"/>
      <c r="AK535" s="98"/>
      <c r="AL535" s="95"/>
    </row>
    <row r="536" spans="1:38" x14ac:dyDescent="0.25">
      <c r="A536" s="94" t="s">
        <v>1036</v>
      </c>
      <c r="C536" s="94" t="s">
        <v>1309</v>
      </c>
      <c r="F536" s="97">
        <f>F485+F494+F509+F534</f>
        <v>135498603.05840203</v>
      </c>
      <c r="G536" s="97"/>
      <c r="H536" s="97">
        <f t="shared" ref="H536:M536" si="545">H485+H494+H509+H534</f>
        <v>14149991.623834027</v>
      </c>
      <c r="I536" s="97">
        <f t="shared" si="545"/>
        <v>13338882.247268716</v>
      </c>
      <c r="J536" s="97">
        <f t="shared" si="545"/>
        <v>13699124.151569678</v>
      </c>
      <c r="K536" s="97">
        <f t="shared" si="545"/>
        <v>32191640.554077383</v>
      </c>
      <c r="L536" s="97">
        <f t="shared" si="545"/>
        <v>0</v>
      </c>
      <c r="M536" s="97">
        <f t="shared" si="545"/>
        <v>0</v>
      </c>
      <c r="N536" s="97"/>
      <c r="O536" s="97">
        <f>O485+O494+O509+O534</f>
        <v>2877728.2032663347</v>
      </c>
      <c r="P536" s="97">
        <f>P485+P494+P509+P534</f>
        <v>2712770.3438606686</v>
      </c>
      <c r="Q536" s="97">
        <f>Q485+Q494+Q509+Q534</f>
        <v>2786033.8704806482</v>
      </c>
      <c r="R536" s="97"/>
      <c r="S536" s="97">
        <f t="shared" ref="S536:AD536" si="546">S485+S494+S509+S534</f>
        <v>0</v>
      </c>
      <c r="T536" s="97">
        <f t="shared" si="546"/>
        <v>3508304.354813735</v>
      </c>
      <c r="U536" s="97">
        <f t="shared" si="546"/>
        <v>0</v>
      </c>
      <c r="V536" s="97">
        <f t="shared" si="546"/>
        <v>5682175.425527228</v>
      </c>
      <c r="W536" s="97">
        <f t="shared" si="546"/>
        <v>8132901.4448825968</v>
      </c>
      <c r="X536" s="97">
        <f t="shared" si="546"/>
        <v>1002736.8397989227</v>
      </c>
      <c r="Y536" s="97">
        <f t="shared" si="546"/>
        <v>1435217.9020381053</v>
      </c>
      <c r="Z536" s="97">
        <f t="shared" si="546"/>
        <v>3529371.5149013679</v>
      </c>
      <c r="AA536" s="97">
        <f t="shared" si="546"/>
        <v>3019842.6526647257</v>
      </c>
      <c r="AB536" s="97">
        <f t="shared" si="546"/>
        <v>2024396.1370020213</v>
      </c>
      <c r="AC536" s="97">
        <f t="shared" si="546"/>
        <v>1604273.2289899876</v>
      </c>
      <c r="AD536" s="97">
        <f t="shared" si="546"/>
        <v>2356236.55327335</v>
      </c>
      <c r="AE536" s="97"/>
      <c r="AF536" s="97">
        <f>AF485+AF494+AF509+AF534</f>
        <v>18983952.501264896</v>
      </c>
      <c r="AG536" s="97"/>
      <c r="AH536" s="97">
        <f>AH485+AH494+AH509+AH534</f>
        <v>2463023.5088876593</v>
      </c>
      <c r="AI536" s="97"/>
      <c r="AJ536" s="97">
        <f>AJ485+AJ494+AJ509+AJ534</f>
        <v>0</v>
      </c>
      <c r="AK536" s="98">
        <f>SUM(H536:AJ536)</f>
        <v>135498603.05840206</v>
      </c>
      <c r="AL536" s="95" t="str">
        <f>IF(ABS(AK536-F536)&lt;1,"ok","err")</f>
        <v>ok</v>
      </c>
    </row>
    <row r="537" spans="1:38" x14ac:dyDescent="0.25">
      <c r="F537" s="98"/>
      <c r="H537" s="98"/>
      <c r="I537" s="98"/>
      <c r="J537" s="98"/>
      <c r="K537" s="98"/>
      <c r="L537" s="98"/>
      <c r="M537" s="98"/>
      <c r="N537" s="98"/>
      <c r="O537" s="98"/>
      <c r="P537" s="98"/>
      <c r="Q537" s="98"/>
      <c r="R537" s="98"/>
      <c r="S537" s="98"/>
      <c r="T537" s="98"/>
      <c r="U537" s="98"/>
      <c r="V537" s="98"/>
      <c r="W537" s="98"/>
      <c r="X537" s="98"/>
      <c r="Y537" s="98"/>
      <c r="Z537" s="98"/>
      <c r="AA537" s="98"/>
      <c r="AB537" s="98"/>
      <c r="AC537" s="98"/>
      <c r="AD537" s="98"/>
      <c r="AE537" s="98"/>
      <c r="AF537" s="98"/>
      <c r="AG537" s="98"/>
      <c r="AH537" s="98"/>
      <c r="AI537" s="98"/>
      <c r="AJ537" s="98"/>
      <c r="AK537" s="98"/>
      <c r="AL537" s="95"/>
    </row>
    <row r="538" spans="1:38" x14ac:dyDescent="0.25">
      <c r="A538" s="94" t="s">
        <v>1699</v>
      </c>
      <c r="C538" s="94" t="s">
        <v>1310</v>
      </c>
      <c r="F538" s="99">
        <f t="shared" ref="F538:M538" si="547">F536-F424</f>
        <v>135498603.05840203</v>
      </c>
      <c r="G538" s="99">
        <f t="shared" si="547"/>
        <v>0</v>
      </c>
      <c r="H538" s="99">
        <f t="shared" si="547"/>
        <v>14149991.623834027</v>
      </c>
      <c r="I538" s="99">
        <f t="shared" si="547"/>
        <v>13338882.247268716</v>
      </c>
      <c r="J538" s="99">
        <f t="shared" si="547"/>
        <v>13699124.151569678</v>
      </c>
      <c r="K538" s="99">
        <f t="shared" si="547"/>
        <v>32191640.554077383</v>
      </c>
      <c r="L538" s="99">
        <f t="shared" si="547"/>
        <v>0</v>
      </c>
      <c r="M538" s="99">
        <f t="shared" si="547"/>
        <v>0</v>
      </c>
      <c r="N538" s="99"/>
      <c r="O538" s="99">
        <f>O536-O424</f>
        <v>2877728.2032663347</v>
      </c>
      <c r="P538" s="99">
        <f>P536-P424</f>
        <v>2712770.3438606686</v>
      </c>
      <c r="Q538" s="99">
        <f>Q536-Q424</f>
        <v>2786033.8704806482</v>
      </c>
      <c r="R538" s="99"/>
      <c r="S538" s="99">
        <f t="shared" ref="S538:AD538" si="548">S536-S424</f>
        <v>0</v>
      </c>
      <c r="T538" s="99">
        <f t="shared" si="548"/>
        <v>3508304.354813735</v>
      </c>
      <c r="U538" s="99">
        <f t="shared" si="548"/>
        <v>0</v>
      </c>
      <c r="V538" s="99">
        <f t="shared" si="548"/>
        <v>5682175.425527228</v>
      </c>
      <c r="W538" s="99">
        <f t="shared" si="548"/>
        <v>8132901.4448825968</v>
      </c>
      <c r="X538" s="99">
        <f t="shared" si="548"/>
        <v>1002736.8397989227</v>
      </c>
      <c r="Y538" s="99">
        <f t="shared" si="548"/>
        <v>1435217.9020381053</v>
      </c>
      <c r="Z538" s="99">
        <f t="shared" si="548"/>
        <v>3529371.5149013679</v>
      </c>
      <c r="AA538" s="99">
        <f t="shared" si="548"/>
        <v>3019842.6526647257</v>
      </c>
      <c r="AB538" s="99">
        <f t="shared" si="548"/>
        <v>2024396.1370020213</v>
      </c>
      <c r="AC538" s="99">
        <f t="shared" si="548"/>
        <v>1604273.2289899876</v>
      </c>
      <c r="AD538" s="99">
        <f t="shared" si="548"/>
        <v>2356236.55327335</v>
      </c>
      <c r="AE538" s="99"/>
      <c r="AF538" s="99">
        <f>AF536-AF424</f>
        <v>18983952.501264896</v>
      </c>
      <c r="AG538" s="99"/>
      <c r="AH538" s="99">
        <f>AH536-AH424</f>
        <v>2463023.5088876593</v>
      </c>
      <c r="AI538" s="99"/>
      <c r="AJ538" s="99">
        <f>AJ536-AJ424</f>
        <v>0</v>
      </c>
      <c r="AK538" s="98">
        <f>SUM(H538:AJ538)</f>
        <v>135498603.05840206</v>
      </c>
      <c r="AL538" s="95" t="str">
        <f>IF(ABS(AK538-F538)&lt;1,"ok","err")</f>
        <v>ok</v>
      </c>
    </row>
    <row r="539" spans="1:38" x14ac:dyDescent="0.25"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  <c r="AA539" s="99"/>
      <c r="AB539" s="99"/>
      <c r="AC539" s="99"/>
      <c r="AD539" s="99"/>
      <c r="AE539" s="99"/>
      <c r="AF539" s="99"/>
      <c r="AG539" s="99"/>
      <c r="AH539" s="99"/>
      <c r="AI539" s="99"/>
      <c r="AJ539" s="99"/>
      <c r="AK539" s="98"/>
      <c r="AL539" s="95"/>
    </row>
    <row r="540" spans="1:38" x14ac:dyDescent="0.25"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  <c r="AA540" s="99"/>
      <c r="AB540" s="99"/>
      <c r="AC540" s="99"/>
      <c r="AD540" s="99"/>
      <c r="AE540" s="99"/>
      <c r="AF540" s="99"/>
      <c r="AG540" s="99"/>
      <c r="AH540" s="99"/>
      <c r="AI540" s="99"/>
      <c r="AJ540" s="99"/>
      <c r="AK540" s="98"/>
      <c r="AL540" s="95"/>
    </row>
    <row r="541" spans="1:38" x14ac:dyDescent="0.25"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  <c r="AA541" s="99"/>
      <c r="AB541" s="99"/>
      <c r="AC541" s="99"/>
      <c r="AD541" s="99"/>
      <c r="AE541" s="99"/>
      <c r="AF541" s="99"/>
      <c r="AG541" s="99"/>
      <c r="AH541" s="99"/>
      <c r="AI541" s="99"/>
      <c r="AJ541" s="99"/>
      <c r="AK541" s="98"/>
      <c r="AL541" s="95"/>
    </row>
    <row r="542" spans="1:38" x14ac:dyDescent="0.25"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  <c r="AA542" s="99"/>
      <c r="AB542" s="99"/>
      <c r="AC542" s="99"/>
      <c r="AD542" s="99"/>
      <c r="AE542" s="99"/>
      <c r="AF542" s="99"/>
      <c r="AG542" s="99"/>
      <c r="AH542" s="99"/>
      <c r="AI542" s="99"/>
      <c r="AJ542" s="99"/>
      <c r="AK542" s="98"/>
      <c r="AL542" s="95"/>
    </row>
    <row r="543" spans="1:38" x14ac:dyDescent="0.25"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  <c r="AA543" s="99"/>
      <c r="AB543" s="99"/>
      <c r="AC543" s="99"/>
      <c r="AD543" s="99"/>
      <c r="AE543" s="99"/>
      <c r="AF543" s="99"/>
      <c r="AG543" s="99"/>
      <c r="AH543" s="99"/>
      <c r="AI543" s="99"/>
      <c r="AJ543" s="99"/>
      <c r="AK543" s="98"/>
      <c r="AL543" s="95"/>
    </row>
    <row r="544" spans="1:38" x14ac:dyDescent="0.25"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  <c r="AA544" s="99"/>
      <c r="AB544" s="99"/>
      <c r="AC544" s="99"/>
      <c r="AD544" s="99"/>
      <c r="AE544" s="99"/>
      <c r="AF544" s="99"/>
      <c r="AG544" s="99"/>
      <c r="AH544" s="99"/>
      <c r="AI544" s="99"/>
      <c r="AJ544" s="99"/>
      <c r="AK544" s="98"/>
      <c r="AL544" s="95"/>
    </row>
    <row r="545" spans="6:38" x14ac:dyDescent="0.25"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  <c r="AA545" s="99"/>
      <c r="AB545" s="99"/>
      <c r="AC545" s="99"/>
      <c r="AD545" s="99"/>
      <c r="AE545" s="99"/>
      <c r="AF545" s="99"/>
      <c r="AG545" s="99"/>
      <c r="AH545" s="99"/>
      <c r="AI545" s="99"/>
      <c r="AJ545" s="99"/>
      <c r="AK545" s="98"/>
      <c r="AL545" s="95"/>
    </row>
    <row r="546" spans="6:38" x14ac:dyDescent="0.25"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  <c r="AA546" s="99"/>
      <c r="AB546" s="99"/>
      <c r="AC546" s="99"/>
      <c r="AD546" s="99"/>
      <c r="AE546" s="99"/>
      <c r="AF546" s="99"/>
      <c r="AG546" s="99"/>
      <c r="AH546" s="99"/>
      <c r="AI546" s="99"/>
      <c r="AJ546" s="99"/>
      <c r="AK546" s="98"/>
      <c r="AL546" s="95"/>
    </row>
    <row r="547" spans="6:38" x14ac:dyDescent="0.25"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  <c r="AA547" s="99"/>
      <c r="AB547" s="99"/>
      <c r="AC547" s="99"/>
      <c r="AD547" s="99"/>
      <c r="AE547" s="99"/>
      <c r="AF547" s="99"/>
      <c r="AG547" s="99"/>
      <c r="AH547" s="99"/>
      <c r="AI547" s="99"/>
      <c r="AJ547" s="99"/>
      <c r="AK547" s="98"/>
      <c r="AL547" s="95"/>
    </row>
    <row r="548" spans="6:38" x14ac:dyDescent="0.25"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  <c r="AA548" s="99"/>
      <c r="AB548" s="99"/>
      <c r="AC548" s="99"/>
      <c r="AD548" s="99"/>
      <c r="AE548" s="99"/>
      <c r="AF548" s="99"/>
      <c r="AG548" s="99"/>
      <c r="AH548" s="99"/>
      <c r="AI548" s="99"/>
      <c r="AJ548" s="99"/>
      <c r="AK548" s="98"/>
      <c r="AL548" s="95"/>
    </row>
    <row r="549" spans="6:38" x14ac:dyDescent="0.25"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  <c r="AA549" s="99"/>
      <c r="AB549" s="99"/>
      <c r="AC549" s="99"/>
      <c r="AD549" s="99"/>
      <c r="AE549" s="99"/>
      <c r="AF549" s="99"/>
      <c r="AG549" s="99"/>
      <c r="AH549" s="99"/>
      <c r="AI549" s="99"/>
      <c r="AJ549" s="99"/>
      <c r="AK549" s="98"/>
      <c r="AL549" s="95"/>
    </row>
    <row r="550" spans="6:38" x14ac:dyDescent="0.25"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  <c r="AA550" s="99"/>
      <c r="AB550" s="99"/>
      <c r="AC550" s="99"/>
      <c r="AD550" s="99"/>
      <c r="AE550" s="99"/>
      <c r="AF550" s="99"/>
      <c r="AG550" s="99"/>
      <c r="AH550" s="99"/>
      <c r="AI550" s="99"/>
      <c r="AJ550" s="99"/>
      <c r="AK550" s="98"/>
      <c r="AL550" s="95"/>
    </row>
    <row r="551" spans="6:38" x14ac:dyDescent="0.25"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  <c r="AA551" s="99"/>
      <c r="AB551" s="99"/>
      <c r="AC551" s="99"/>
      <c r="AD551" s="99"/>
      <c r="AE551" s="99"/>
      <c r="AF551" s="99"/>
      <c r="AG551" s="99"/>
      <c r="AH551" s="99"/>
      <c r="AI551" s="99"/>
      <c r="AJ551" s="99"/>
      <c r="AK551" s="98"/>
      <c r="AL551" s="95"/>
    </row>
    <row r="552" spans="6:38" x14ac:dyDescent="0.25"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  <c r="AA552" s="99"/>
      <c r="AB552" s="99"/>
      <c r="AC552" s="99"/>
      <c r="AD552" s="99"/>
      <c r="AE552" s="99"/>
      <c r="AF552" s="99"/>
      <c r="AG552" s="99"/>
      <c r="AH552" s="99"/>
      <c r="AI552" s="99"/>
      <c r="AJ552" s="99"/>
      <c r="AK552" s="98"/>
      <c r="AL552" s="95"/>
    </row>
    <row r="553" spans="6:38" x14ac:dyDescent="0.25"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  <c r="AA553" s="99"/>
      <c r="AB553" s="99"/>
      <c r="AC553" s="99"/>
      <c r="AD553" s="99"/>
      <c r="AE553" s="99"/>
      <c r="AF553" s="99"/>
      <c r="AG553" s="99"/>
      <c r="AH553" s="99"/>
      <c r="AI553" s="99"/>
      <c r="AJ553" s="99"/>
      <c r="AK553" s="98"/>
      <c r="AL553" s="95"/>
    </row>
    <row r="554" spans="6:38" x14ac:dyDescent="0.25"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  <c r="AA554" s="99"/>
      <c r="AB554" s="99"/>
      <c r="AC554" s="99"/>
      <c r="AD554" s="99"/>
      <c r="AE554" s="99"/>
      <c r="AF554" s="99"/>
      <c r="AG554" s="99"/>
      <c r="AH554" s="99"/>
      <c r="AI554" s="99"/>
      <c r="AJ554" s="99"/>
      <c r="AK554" s="98"/>
      <c r="AL554" s="95"/>
    </row>
    <row r="555" spans="6:38" x14ac:dyDescent="0.25"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  <c r="AA555" s="99"/>
      <c r="AB555" s="99"/>
      <c r="AC555" s="99"/>
      <c r="AD555" s="99"/>
      <c r="AE555" s="99"/>
      <c r="AF555" s="99"/>
      <c r="AG555" s="99"/>
      <c r="AH555" s="99"/>
      <c r="AI555" s="99"/>
      <c r="AJ555" s="99"/>
      <c r="AK555" s="98"/>
      <c r="AL555" s="95"/>
    </row>
    <row r="556" spans="6:38" x14ac:dyDescent="0.25"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  <c r="AA556" s="99"/>
      <c r="AB556" s="99"/>
      <c r="AC556" s="99"/>
      <c r="AD556" s="99"/>
      <c r="AE556" s="99"/>
      <c r="AF556" s="99"/>
      <c r="AG556" s="99"/>
      <c r="AH556" s="99"/>
      <c r="AI556" s="99"/>
      <c r="AJ556" s="99"/>
      <c r="AK556" s="98"/>
      <c r="AL556" s="95"/>
    </row>
    <row r="557" spans="6:38" x14ac:dyDescent="0.25"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  <c r="AA557" s="99"/>
      <c r="AB557" s="99"/>
      <c r="AC557" s="99"/>
      <c r="AD557" s="99"/>
      <c r="AE557" s="99"/>
      <c r="AF557" s="99"/>
      <c r="AG557" s="99"/>
      <c r="AH557" s="99"/>
      <c r="AI557" s="99"/>
      <c r="AJ557" s="99"/>
      <c r="AK557" s="98"/>
      <c r="AL557" s="95"/>
    </row>
    <row r="558" spans="6:38" x14ac:dyDescent="0.25"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  <c r="AA558" s="99"/>
      <c r="AB558" s="99"/>
      <c r="AC558" s="99"/>
      <c r="AD558" s="99"/>
      <c r="AE558" s="99"/>
      <c r="AF558" s="99"/>
      <c r="AG558" s="99"/>
      <c r="AH558" s="99"/>
      <c r="AI558" s="99"/>
      <c r="AJ558" s="99"/>
      <c r="AK558" s="98"/>
      <c r="AL558" s="95"/>
    </row>
    <row r="559" spans="6:38" x14ac:dyDescent="0.25"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  <c r="AA559" s="99"/>
      <c r="AB559" s="99"/>
      <c r="AC559" s="99"/>
      <c r="AD559" s="99"/>
      <c r="AE559" s="99"/>
      <c r="AF559" s="99"/>
      <c r="AG559" s="99"/>
      <c r="AH559" s="99"/>
      <c r="AI559" s="99"/>
      <c r="AJ559" s="99"/>
      <c r="AK559" s="98"/>
      <c r="AL559" s="95"/>
    </row>
    <row r="560" spans="6:38" x14ac:dyDescent="0.25"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  <c r="AA560" s="99"/>
      <c r="AB560" s="99"/>
      <c r="AC560" s="99"/>
      <c r="AD560" s="99"/>
      <c r="AE560" s="99"/>
      <c r="AF560" s="99"/>
      <c r="AG560" s="99"/>
      <c r="AH560" s="99"/>
      <c r="AI560" s="99"/>
      <c r="AJ560" s="99"/>
      <c r="AK560" s="98"/>
      <c r="AL560" s="95"/>
    </row>
    <row r="561" spans="1:38" x14ac:dyDescent="0.25"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  <c r="AA561" s="99"/>
      <c r="AB561" s="99"/>
      <c r="AC561" s="99"/>
      <c r="AD561" s="99"/>
      <c r="AE561" s="99"/>
      <c r="AF561" s="99"/>
      <c r="AG561" s="99"/>
      <c r="AH561" s="99"/>
      <c r="AI561" s="99"/>
      <c r="AJ561" s="99"/>
      <c r="AK561" s="98"/>
      <c r="AL561" s="95"/>
    </row>
    <row r="562" spans="1:38" x14ac:dyDescent="0.25"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  <c r="AA562" s="99"/>
      <c r="AB562" s="99"/>
      <c r="AC562" s="99"/>
      <c r="AD562" s="99"/>
      <c r="AE562" s="99"/>
      <c r="AF562" s="99"/>
      <c r="AG562" s="99"/>
      <c r="AH562" s="99"/>
      <c r="AI562" s="99"/>
      <c r="AJ562" s="99"/>
      <c r="AK562" s="98"/>
      <c r="AL562" s="95"/>
    </row>
    <row r="563" spans="1:38" x14ac:dyDescent="0.25"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  <c r="AA563" s="99"/>
      <c r="AB563" s="99"/>
      <c r="AC563" s="99"/>
      <c r="AD563" s="99"/>
      <c r="AE563" s="99"/>
      <c r="AF563" s="99"/>
      <c r="AG563" s="99"/>
      <c r="AH563" s="99"/>
      <c r="AI563" s="99"/>
      <c r="AJ563" s="99"/>
      <c r="AK563" s="98"/>
      <c r="AL563" s="95"/>
    </row>
    <row r="564" spans="1:38" x14ac:dyDescent="0.25">
      <c r="A564" s="15" t="s">
        <v>1039</v>
      </c>
      <c r="AL564" s="95"/>
    </row>
    <row r="565" spans="1:38" x14ac:dyDescent="0.25">
      <c r="AL565" s="95"/>
    </row>
    <row r="566" spans="1:38" x14ac:dyDescent="0.25">
      <c r="A566" s="16" t="s">
        <v>1040</v>
      </c>
      <c r="AL566" s="95"/>
    </row>
    <row r="567" spans="1:38" x14ac:dyDescent="0.25">
      <c r="A567" s="104" t="s">
        <v>2027</v>
      </c>
      <c r="C567" s="94" t="s">
        <v>1701</v>
      </c>
      <c r="D567" s="94" t="s">
        <v>1903</v>
      </c>
      <c r="F567" s="97">
        <f>'Jurisdictional Study'!F1118</f>
        <v>98366735.202722415</v>
      </c>
      <c r="H567" s="98">
        <f t="shared" ref="H567:H574" si="549">IF(VLOOKUP($D567,$C$5:$AJ$646,6,)=0,0,((VLOOKUP($D567,$C$5:$AJ$646,6,)/VLOOKUP($D567,$C$5:$AJ$646,4,))*$F567))</f>
        <v>33793545.353096321</v>
      </c>
      <c r="I567" s="98">
        <f t="shared" ref="I567:I574" si="550">IF(VLOOKUP($D567,$C$5:$AJ$646,7,)=0,0,((VLOOKUP($D567,$C$5:$AJ$646,7,)/VLOOKUP($D567,$C$5:$AJ$646,4,))*$F567))</f>
        <v>31856423.252111323</v>
      </c>
      <c r="J567" s="98">
        <f t="shared" ref="J567:J574" si="551">IF(VLOOKUP($D567,$C$5:$AJ$646,8,)=0,0,((VLOOKUP($D567,$C$5:$AJ$646,8,)/VLOOKUP($D567,$C$5:$AJ$646,4,))*$F567))</f>
        <v>32716766.597514782</v>
      </c>
      <c r="K567" s="98">
        <f t="shared" ref="K567:K574" si="552">IF(VLOOKUP($D567,$C$5:$AJ$646,9,)=0,0,((VLOOKUP($D567,$C$5:$AJ$646,9,)/VLOOKUP($D567,$C$5:$AJ$646,4,))*$F567))</f>
        <v>0</v>
      </c>
      <c r="L567" s="98">
        <f t="shared" ref="L567:L574" si="553">IF(VLOOKUP($D567,$C$5:$AJ$646,10,)=0,0,((VLOOKUP($D567,$C$5:$AJ$646,10,)/VLOOKUP($D567,$C$5:$AJ$646,4,))*$F567))</f>
        <v>0</v>
      </c>
      <c r="M567" s="98">
        <f t="shared" ref="M567:M574" si="554">IF(VLOOKUP($D567,$C$5:$AJ$646,11,)=0,0,((VLOOKUP($D567,$C$5:$AJ$646,11,)/VLOOKUP($D567,$C$5:$AJ$646,4,))*$F567))</f>
        <v>0</v>
      </c>
      <c r="N567" s="98"/>
      <c r="O567" s="98">
        <f t="shared" ref="O567:O574" si="555">IF(VLOOKUP($D567,$C$5:$AJ$646,13,)=0,0,((VLOOKUP($D567,$C$5:$AJ$646,13,)/VLOOKUP($D567,$C$5:$AJ$646,4,))*$F567))</f>
        <v>0</v>
      </c>
      <c r="P567" s="98">
        <f t="shared" ref="P567:P574" si="556">IF(VLOOKUP($D567,$C$5:$AJ$646,14,)=0,0,((VLOOKUP($D567,$C$5:$AJ$646,14,)/VLOOKUP($D567,$C$5:$AJ$646,4,))*$F567))</f>
        <v>0</v>
      </c>
      <c r="Q567" s="98">
        <f t="shared" ref="Q567:Q574" si="557">IF(VLOOKUP($D567,$C$5:$AJ$646,15,)=0,0,((VLOOKUP($D567,$C$5:$AJ$646,15,)/VLOOKUP($D567,$C$5:$AJ$646,4,))*$F567))</f>
        <v>0</v>
      </c>
      <c r="R567" s="98"/>
      <c r="S567" s="98">
        <f t="shared" ref="S567:S574" si="558">IF(VLOOKUP($D567,$C$5:$AJ$646,17,)=0,0,((VLOOKUP($D567,$C$5:$AJ$646,17,)/VLOOKUP($D567,$C$5:$AJ$646,4,))*$F567))</f>
        <v>0</v>
      </c>
      <c r="T567" s="98">
        <f t="shared" ref="T567:T574" si="559">IF(VLOOKUP($D567,$C$5:$AJ$646,18,)=0,0,((VLOOKUP($D567,$C$5:$AJ$646,18,)/VLOOKUP($D567,$C$5:$AJ$646,4,))*$F567))</f>
        <v>0</v>
      </c>
      <c r="U567" s="98">
        <f t="shared" ref="U567:U574" si="560">IF(VLOOKUP($D567,$C$5:$AJ$646,19,)=0,0,((VLOOKUP($D567,$C$5:$AJ$646,19,)/VLOOKUP($D567,$C$5:$AJ$646,4,))*$F567))</f>
        <v>0</v>
      </c>
      <c r="V567" s="98">
        <f t="shared" ref="V567:V574" si="561">IF(VLOOKUP($D567,$C$5:$AJ$646,20,)=0,0,((VLOOKUP($D567,$C$5:$AJ$646,20,)/VLOOKUP($D567,$C$5:$AJ$646,4,))*$F567))</f>
        <v>0</v>
      </c>
      <c r="W567" s="98">
        <f t="shared" ref="W567:W574" si="562">IF(VLOOKUP($D567,$C$5:$AJ$646,21,)=0,0,((VLOOKUP($D567,$C$5:$AJ$646,21,)/VLOOKUP($D567,$C$5:$AJ$646,4,))*$F567))</f>
        <v>0</v>
      </c>
      <c r="X567" s="98">
        <f t="shared" ref="X567:X574" si="563">IF(VLOOKUP($D567,$C$5:$AJ$646,22,)=0,0,((VLOOKUP($D567,$C$5:$AJ$646,22,)/VLOOKUP($D567,$C$5:$AJ$646,4,))*$F567))</f>
        <v>0</v>
      </c>
      <c r="Y567" s="98">
        <f t="shared" ref="Y567:Y574" si="564">IF(VLOOKUP($D567,$C$5:$AJ$646,23,)=0,0,((VLOOKUP($D567,$C$5:$AJ$646,23,)/VLOOKUP($D567,$C$5:$AJ$646,4,))*$F567))</f>
        <v>0</v>
      </c>
      <c r="Z567" s="98">
        <f t="shared" ref="Z567:Z574" si="565">IF(VLOOKUP($D567,$C$5:$AJ$646,24,)=0,0,((VLOOKUP($D567,$C$5:$AJ$646,24,)/VLOOKUP($D567,$C$5:$AJ$646,4,))*$F567))</f>
        <v>0</v>
      </c>
      <c r="AA567" s="98">
        <f t="shared" ref="AA567:AA574" si="566">IF(VLOOKUP($D567,$C$5:$AJ$646,25,)=0,0,((VLOOKUP($D567,$C$5:$AJ$646,25,)/VLOOKUP($D567,$C$5:$AJ$646,4,))*$F567))</f>
        <v>0</v>
      </c>
      <c r="AB567" s="98">
        <f t="shared" ref="AB567:AB574" si="567">IF(VLOOKUP($D567,$C$5:$AJ$646,26,)=0,0,((VLOOKUP($D567,$C$5:$AJ$646,26,)/VLOOKUP($D567,$C$5:$AJ$646,4,))*$F567))</f>
        <v>0</v>
      </c>
      <c r="AC567" s="98">
        <f t="shared" ref="AC567:AC574" si="568">IF(VLOOKUP($D567,$C$5:$AJ$646,27,)=0,0,((VLOOKUP($D567,$C$5:$AJ$646,27,)/VLOOKUP($D567,$C$5:$AJ$646,4,))*$F567))</f>
        <v>0</v>
      </c>
      <c r="AD567" s="98">
        <f t="shared" ref="AD567:AD574" si="569">IF(VLOOKUP($D567,$C$5:$AJ$646,28,)=0,0,((VLOOKUP($D567,$C$5:$AJ$646,28,)/VLOOKUP($D567,$C$5:$AJ$646,4,))*$F567))</f>
        <v>0</v>
      </c>
      <c r="AE567" s="98"/>
      <c r="AF567" s="98">
        <f t="shared" ref="AF567:AF574" si="570">IF(VLOOKUP($D567,$C$5:$AJ$646,30,)=0,0,((VLOOKUP($D567,$C$5:$AJ$646,30,)/VLOOKUP($D567,$C$5:$AJ$646,4,))*$F567))</f>
        <v>0</v>
      </c>
      <c r="AG567" s="98"/>
      <c r="AH567" s="98">
        <f t="shared" ref="AH567:AH574" si="571">IF(VLOOKUP($D567,$C$5:$AJ$646,32,)=0,0,((VLOOKUP($D567,$C$5:$AJ$646,32,)/VLOOKUP($D567,$C$5:$AJ$646,4,))*$F567))</f>
        <v>0</v>
      </c>
      <c r="AI567" s="98"/>
      <c r="AJ567" s="98">
        <f t="shared" ref="AJ567:AJ574" si="572">IF(VLOOKUP($D567,$C$5:$AJ$646,34,)=0,0,((VLOOKUP($D567,$C$5:$AJ$646,34,)/VLOOKUP($D567,$C$5:$AJ$646,4,))*$F567))</f>
        <v>0</v>
      </c>
      <c r="AK567" s="98">
        <f t="shared" ref="AK567:AK574" si="573">SUM(H567:AJ567)</f>
        <v>98366735.20272243</v>
      </c>
      <c r="AL567" s="95" t="str">
        <f t="shared" ref="AL567:AL574" si="574">IF(ABS(AK567-F567)&lt;1,"ok","err")</f>
        <v>ok</v>
      </c>
    </row>
    <row r="568" spans="1:38" x14ac:dyDescent="0.25">
      <c r="A568" s="104" t="s">
        <v>2026</v>
      </c>
      <c r="C568" s="94" t="s">
        <v>1244</v>
      </c>
      <c r="D568" s="94" t="s">
        <v>1903</v>
      </c>
      <c r="F568" s="98">
        <f>'Jurisdictional Study'!F1124</f>
        <v>129933.88462334844</v>
      </c>
      <c r="H568" s="98">
        <f t="shared" si="549"/>
        <v>44638.328331970355</v>
      </c>
      <c r="I568" s="98">
        <f t="shared" si="550"/>
        <v>42079.558855154814</v>
      </c>
      <c r="J568" s="98">
        <f t="shared" si="551"/>
        <v>43215.997436223275</v>
      </c>
      <c r="K568" s="98">
        <f t="shared" si="552"/>
        <v>0</v>
      </c>
      <c r="L568" s="98">
        <f t="shared" si="553"/>
        <v>0</v>
      </c>
      <c r="M568" s="98">
        <f t="shared" si="554"/>
        <v>0</v>
      </c>
      <c r="N568" s="98"/>
      <c r="O568" s="98">
        <f t="shared" si="555"/>
        <v>0</v>
      </c>
      <c r="P568" s="98">
        <f t="shared" si="556"/>
        <v>0</v>
      </c>
      <c r="Q568" s="98">
        <f t="shared" si="557"/>
        <v>0</v>
      </c>
      <c r="R568" s="98"/>
      <c r="S568" s="98">
        <f t="shared" si="558"/>
        <v>0</v>
      </c>
      <c r="T568" s="98">
        <f t="shared" si="559"/>
        <v>0</v>
      </c>
      <c r="U568" s="98">
        <f t="shared" si="560"/>
        <v>0</v>
      </c>
      <c r="V568" s="98">
        <f t="shared" si="561"/>
        <v>0</v>
      </c>
      <c r="W568" s="98">
        <f t="shared" si="562"/>
        <v>0</v>
      </c>
      <c r="X568" s="98">
        <f t="shared" si="563"/>
        <v>0</v>
      </c>
      <c r="Y568" s="98">
        <f t="shared" si="564"/>
        <v>0</v>
      </c>
      <c r="Z568" s="98">
        <f t="shared" si="565"/>
        <v>0</v>
      </c>
      <c r="AA568" s="98">
        <f t="shared" si="566"/>
        <v>0</v>
      </c>
      <c r="AB568" s="98">
        <f t="shared" si="567"/>
        <v>0</v>
      </c>
      <c r="AC568" s="98">
        <f t="shared" si="568"/>
        <v>0</v>
      </c>
      <c r="AD568" s="98">
        <f t="shared" si="569"/>
        <v>0</v>
      </c>
      <c r="AE568" s="98"/>
      <c r="AF568" s="98">
        <f t="shared" si="570"/>
        <v>0</v>
      </c>
      <c r="AG568" s="98"/>
      <c r="AH568" s="98">
        <f t="shared" si="571"/>
        <v>0</v>
      </c>
      <c r="AI568" s="98"/>
      <c r="AJ568" s="98">
        <f t="shared" si="572"/>
        <v>0</v>
      </c>
      <c r="AK568" s="98">
        <f t="shared" si="573"/>
        <v>129933.88462334844</v>
      </c>
      <c r="AL568" s="95" t="str">
        <f t="shared" si="574"/>
        <v>ok</v>
      </c>
    </row>
    <row r="569" spans="1:38" x14ac:dyDescent="0.25">
      <c r="A569" s="105" t="s">
        <v>2025</v>
      </c>
      <c r="C569" s="94" t="s">
        <v>1245</v>
      </c>
      <c r="D569" s="94" t="s">
        <v>1903</v>
      </c>
      <c r="F569" s="98">
        <f>'Jurisdictional Study'!F1130</f>
        <v>14936093.920667784</v>
      </c>
      <c r="H569" s="98">
        <f t="shared" si="549"/>
        <v>5131242.4496551109</v>
      </c>
      <c r="I569" s="98">
        <f t="shared" si="550"/>
        <v>4837108.080180658</v>
      </c>
      <c r="J569" s="98">
        <f t="shared" si="551"/>
        <v>4967743.3908320162</v>
      </c>
      <c r="K569" s="98">
        <f t="shared" si="552"/>
        <v>0</v>
      </c>
      <c r="L569" s="98">
        <f t="shared" si="553"/>
        <v>0</v>
      </c>
      <c r="M569" s="98">
        <f t="shared" si="554"/>
        <v>0</v>
      </c>
      <c r="N569" s="98"/>
      <c r="O569" s="98">
        <f t="shared" si="555"/>
        <v>0</v>
      </c>
      <c r="P569" s="98">
        <f t="shared" si="556"/>
        <v>0</v>
      </c>
      <c r="Q569" s="98">
        <f t="shared" si="557"/>
        <v>0</v>
      </c>
      <c r="R569" s="98"/>
      <c r="S569" s="98">
        <f t="shared" si="558"/>
        <v>0</v>
      </c>
      <c r="T569" s="98">
        <f t="shared" si="559"/>
        <v>0</v>
      </c>
      <c r="U569" s="98">
        <f t="shared" si="560"/>
        <v>0</v>
      </c>
      <c r="V569" s="98">
        <f t="shared" si="561"/>
        <v>0</v>
      </c>
      <c r="W569" s="98">
        <f t="shared" si="562"/>
        <v>0</v>
      </c>
      <c r="X569" s="98">
        <f t="shared" si="563"/>
        <v>0</v>
      </c>
      <c r="Y569" s="98">
        <f t="shared" si="564"/>
        <v>0</v>
      </c>
      <c r="Z569" s="98">
        <f t="shared" si="565"/>
        <v>0</v>
      </c>
      <c r="AA569" s="98">
        <f t="shared" si="566"/>
        <v>0</v>
      </c>
      <c r="AB569" s="98">
        <f t="shared" si="567"/>
        <v>0</v>
      </c>
      <c r="AC569" s="98">
        <f t="shared" si="568"/>
        <v>0</v>
      </c>
      <c r="AD569" s="98">
        <f t="shared" si="569"/>
        <v>0</v>
      </c>
      <c r="AE569" s="98"/>
      <c r="AF569" s="98">
        <f t="shared" si="570"/>
        <v>0</v>
      </c>
      <c r="AG569" s="98"/>
      <c r="AH569" s="98">
        <f t="shared" si="571"/>
        <v>0</v>
      </c>
      <c r="AI569" s="98"/>
      <c r="AJ569" s="98">
        <f t="shared" si="572"/>
        <v>0</v>
      </c>
      <c r="AK569" s="98">
        <f t="shared" si="573"/>
        <v>14936093.920667784</v>
      </c>
      <c r="AL569" s="95" t="str">
        <f t="shared" si="574"/>
        <v>ok</v>
      </c>
    </row>
    <row r="570" spans="1:38" x14ac:dyDescent="0.25">
      <c r="A570" s="94" t="s">
        <v>2028</v>
      </c>
      <c r="C570" s="94" t="s">
        <v>1246</v>
      </c>
      <c r="D570" s="94" t="s">
        <v>584</v>
      </c>
      <c r="F570" s="98">
        <f>'Jurisdictional Study'!F1135</f>
        <v>9156938.1887477003</v>
      </c>
      <c r="H570" s="98">
        <f t="shared" si="549"/>
        <v>0</v>
      </c>
      <c r="I570" s="98">
        <f t="shared" si="550"/>
        <v>0</v>
      </c>
      <c r="J570" s="98">
        <f t="shared" si="551"/>
        <v>0</v>
      </c>
      <c r="K570" s="98">
        <f t="shared" si="552"/>
        <v>0</v>
      </c>
      <c r="L570" s="98">
        <f t="shared" si="553"/>
        <v>0</v>
      </c>
      <c r="M570" s="98">
        <f t="shared" si="554"/>
        <v>0</v>
      </c>
      <c r="N570" s="98"/>
      <c r="O570" s="98">
        <f t="shared" si="555"/>
        <v>3145833.8567322986</v>
      </c>
      <c r="P570" s="98">
        <f t="shared" si="556"/>
        <v>2965507.5776683395</v>
      </c>
      <c r="Q570" s="98">
        <f t="shared" si="557"/>
        <v>3045596.7543470617</v>
      </c>
      <c r="R570" s="98"/>
      <c r="S570" s="98">
        <f t="shared" si="558"/>
        <v>0</v>
      </c>
      <c r="T570" s="98">
        <f t="shared" si="559"/>
        <v>0</v>
      </c>
      <c r="U570" s="98">
        <f t="shared" si="560"/>
        <v>0</v>
      </c>
      <c r="V570" s="98">
        <f t="shared" si="561"/>
        <v>0</v>
      </c>
      <c r="W570" s="98">
        <f t="shared" si="562"/>
        <v>0</v>
      </c>
      <c r="X570" s="98">
        <f t="shared" si="563"/>
        <v>0</v>
      </c>
      <c r="Y570" s="98">
        <f t="shared" si="564"/>
        <v>0</v>
      </c>
      <c r="Z570" s="98">
        <f t="shared" si="565"/>
        <v>0</v>
      </c>
      <c r="AA570" s="98">
        <f t="shared" si="566"/>
        <v>0</v>
      </c>
      <c r="AB570" s="98">
        <f t="shared" si="567"/>
        <v>0</v>
      </c>
      <c r="AC570" s="98">
        <f t="shared" si="568"/>
        <v>0</v>
      </c>
      <c r="AD570" s="98">
        <f t="shared" si="569"/>
        <v>0</v>
      </c>
      <c r="AE570" s="98"/>
      <c r="AF570" s="98">
        <f t="shared" si="570"/>
        <v>0</v>
      </c>
      <c r="AG570" s="98"/>
      <c r="AH570" s="98">
        <f t="shared" si="571"/>
        <v>0</v>
      </c>
      <c r="AI570" s="98"/>
      <c r="AJ570" s="98">
        <f t="shared" si="572"/>
        <v>0</v>
      </c>
      <c r="AK570" s="98">
        <f t="shared" si="573"/>
        <v>9156938.1887477003</v>
      </c>
      <c r="AL570" s="95" t="str">
        <f t="shared" si="574"/>
        <v>ok</v>
      </c>
    </row>
    <row r="571" spans="1:38" x14ac:dyDescent="0.25">
      <c r="A571" s="94" t="s">
        <v>2029</v>
      </c>
      <c r="C571" s="94" t="s">
        <v>1247</v>
      </c>
      <c r="D571" s="94" t="s">
        <v>584</v>
      </c>
      <c r="F571" s="98">
        <f>'Jurisdictional Study'!F1136</f>
        <v>133400.89352070799</v>
      </c>
      <c r="H571" s="98">
        <f t="shared" si="549"/>
        <v>0</v>
      </c>
      <c r="I571" s="98">
        <f t="shared" si="550"/>
        <v>0</v>
      </c>
      <c r="J571" s="98">
        <f t="shared" si="551"/>
        <v>0</v>
      </c>
      <c r="K571" s="98">
        <f t="shared" si="552"/>
        <v>0</v>
      </c>
      <c r="L571" s="98">
        <f t="shared" si="553"/>
        <v>0</v>
      </c>
      <c r="M571" s="98">
        <f t="shared" si="554"/>
        <v>0</v>
      </c>
      <c r="N571" s="98"/>
      <c r="O571" s="98">
        <f t="shared" si="555"/>
        <v>45829.407025098168</v>
      </c>
      <c r="P571" s="98">
        <f t="shared" si="556"/>
        <v>43202.362236048808</v>
      </c>
      <c r="Q571" s="98">
        <f t="shared" si="557"/>
        <v>44369.124259561009</v>
      </c>
      <c r="R571" s="98"/>
      <c r="S571" s="98">
        <f t="shared" si="558"/>
        <v>0</v>
      </c>
      <c r="T571" s="98">
        <f t="shared" si="559"/>
        <v>0</v>
      </c>
      <c r="U571" s="98">
        <f t="shared" si="560"/>
        <v>0</v>
      </c>
      <c r="V571" s="98">
        <f t="shared" si="561"/>
        <v>0</v>
      </c>
      <c r="W571" s="98">
        <f t="shared" si="562"/>
        <v>0</v>
      </c>
      <c r="X571" s="98">
        <f t="shared" si="563"/>
        <v>0</v>
      </c>
      <c r="Y571" s="98">
        <f t="shared" si="564"/>
        <v>0</v>
      </c>
      <c r="Z571" s="98">
        <f t="shared" si="565"/>
        <v>0</v>
      </c>
      <c r="AA571" s="98">
        <f t="shared" si="566"/>
        <v>0</v>
      </c>
      <c r="AB571" s="98">
        <f t="shared" si="567"/>
        <v>0</v>
      </c>
      <c r="AC571" s="98">
        <f t="shared" si="568"/>
        <v>0</v>
      </c>
      <c r="AD571" s="98">
        <f t="shared" si="569"/>
        <v>0</v>
      </c>
      <c r="AE571" s="98"/>
      <c r="AF571" s="98">
        <f t="shared" si="570"/>
        <v>0</v>
      </c>
      <c r="AG571" s="98"/>
      <c r="AH571" s="98">
        <f t="shared" si="571"/>
        <v>0</v>
      </c>
      <c r="AI571" s="98"/>
      <c r="AJ571" s="98">
        <f t="shared" si="572"/>
        <v>0</v>
      </c>
      <c r="AK571" s="98">
        <f t="shared" si="573"/>
        <v>133400.89352070799</v>
      </c>
      <c r="AL571" s="95" t="str">
        <f t="shared" si="574"/>
        <v>ok</v>
      </c>
    </row>
    <row r="572" spans="1:38" x14ac:dyDescent="0.25">
      <c r="A572" s="94" t="s">
        <v>2031</v>
      </c>
      <c r="C572" s="94" t="s">
        <v>1248</v>
      </c>
      <c r="D572" s="94" t="s">
        <v>129</v>
      </c>
      <c r="F572" s="98">
        <f>'Jurisdictional Study'!F1145</f>
        <v>32743234.033906706</v>
      </c>
      <c r="H572" s="98">
        <f t="shared" si="549"/>
        <v>0</v>
      </c>
      <c r="I572" s="98">
        <f t="shared" si="550"/>
        <v>0</v>
      </c>
      <c r="J572" s="98">
        <f t="shared" si="551"/>
        <v>0</v>
      </c>
      <c r="K572" s="98">
        <f t="shared" si="552"/>
        <v>0</v>
      </c>
      <c r="L572" s="98">
        <f t="shared" si="553"/>
        <v>0</v>
      </c>
      <c r="M572" s="98">
        <f t="shared" si="554"/>
        <v>0</v>
      </c>
      <c r="N572" s="98"/>
      <c r="O572" s="98">
        <f t="shared" si="555"/>
        <v>0</v>
      </c>
      <c r="P572" s="98">
        <f t="shared" si="556"/>
        <v>0</v>
      </c>
      <c r="Q572" s="98">
        <f t="shared" si="557"/>
        <v>0</v>
      </c>
      <c r="R572" s="98"/>
      <c r="S572" s="98">
        <f t="shared" si="558"/>
        <v>0</v>
      </c>
      <c r="T572" s="98">
        <f t="shared" si="559"/>
        <v>3556947.1556663895</v>
      </c>
      <c r="U572" s="98">
        <f t="shared" si="560"/>
        <v>0</v>
      </c>
      <c r="V572" s="98">
        <f t="shared" si="561"/>
        <v>5760959.0485200631</v>
      </c>
      <c r="W572" s="98">
        <f t="shared" si="562"/>
        <v>8245664.4965815954</v>
      </c>
      <c r="X572" s="98">
        <f t="shared" si="563"/>
        <v>1016639.8320917758</v>
      </c>
      <c r="Y572" s="98">
        <f t="shared" si="564"/>
        <v>1455117.2641026347</v>
      </c>
      <c r="Z572" s="98">
        <f t="shared" si="565"/>
        <v>3578306.4128952716</v>
      </c>
      <c r="AA572" s="98">
        <f t="shared" si="566"/>
        <v>3061712.9096047678</v>
      </c>
      <c r="AB572" s="98">
        <f t="shared" si="567"/>
        <v>2052464.4823278643</v>
      </c>
      <c r="AC572" s="98">
        <f t="shared" si="568"/>
        <v>1626516.5509195491</v>
      </c>
      <c r="AD572" s="98">
        <f t="shared" si="569"/>
        <v>2388905.8811967834</v>
      </c>
      <c r="AE572" s="98"/>
      <c r="AF572" s="98">
        <f t="shared" si="570"/>
        <v>0</v>
      </c>
      <c r="AG572" s="98"/>
      <c r="AH572" s="98">
        <f t="shared" si="571"/>
        <v>0</v>
      </c>
      <c r="AI572" s="98"/>
      <c r="AJ572" s="98">
        <f t="shared" si="572"/>
        <v>0</v>
      </c>
      <c r="AK572" s="98">
        <f t="shared" si="573"/>
        <v>32743234.033906687</v>
      </c>
      <c r="AL572" s="95" t="str">
        <f t="shared" si="574"/>
        <v>ok</v>
      </c>
    </row>
    <row r="573" spans="1:38" x14ac:dyDescent="0.25">
      <c r="A573" s="104" t="s">
        <v>215</v>
      </c>
      <c r="C573" s="94" t="s">
        <v>1249</v>
      </c>
      <c r="D573" s="94" t="s">
        <v>203</v>
      </c>
      <c r="F573" s="98">
        <f>'Jurisdictional Study'!F1147</f>
        <v>5699724.4260474555</v>
      </c>
      <c r="H573" s="98">
        <f t="shared" si="549"/>
        <v>1284194.3615390917</v>
      </c>
      <c r="I573" s="98">
        <f t="shared" si="550"/>
        <v>1210581.4495553016</v>
      </c>
      <c r="J573" s="98">
        <f t="shared" si="551"/>
        <v>1243275.5058199123</v>
      </c>
      <c r="K573" s="98">
        <f t="shared" si="552"/>
        <v>0</v>
      </c>
      <c r="L573" s="98">
        <f t="shared" si="553"/>
        <v>0</v>
      </c>
      <c r="M573" s="98">
        <f t="shared" si="554"/>
        <v>0</v>
      </c>
      <c r="N573" s="98"/>
      <c r="O573" s="98">
        <f t="shared" si="555"/>
        <v>191716.70319873307</v>
      </c>
      <c r="P573" s="98">
        <f t="shared" si="556"/>
        <v>180727.0701485796</v>
      </c>
      <c r="Q573" s="98">
        <f t="shared" si="557"/>
        <v>185607.9486736441</v>
      </c>
      <c r="R573" s="98"/>
      <c r="S573" s="98">
        <f t="shared" si="558"/>
        <v>0</v>
      </c>
      <c r="T573" s="98">
        <f t="shared" si="559"/>
        <v>152477.51933578763</v>
      </c>
      <c r="U573" s="98">
        <f t="shared" si="560"/>
        <v>0</v>
      </c>
      <c r="V573" s="98">
        <f t="shared" si="561"/>
        <v>246958.05314791872</v>
      </c>
      <c r="W573" s="98">
        <f t="shared" si="562"/>
        <v>353471.22481452441</v>
      </c>
      <c r="X573" s="98">
        <f t="shared" si="563"/>
        <v>43580.832908456243</v>
      </c>
      <c r="Y573" s="98">
        <f t="shared" si="564"/>
        <v>62377.274967269019</v>
      </c>
      <c r="Z573" s="98">
        <f t="shared" si="565"/>
        <v>153393.13781831876</v>
      </c>
      <c r="AA573" s="98">
        <f t="shared" si="566"/>
        <v>131248.05316019073</v>
      </c>
      <c r="AB573" s="98">
        <f t="shared" si="567"/>
        <v>87984.071478715166</v>
      </c>
      <c r="AC573" s="98">
        <f t="shared" si="568"/>
        <v>69724.738093937267</v>
      </c>
      <c r="AD573" s="98">
        <f t="shared" si="569"/>
        <v>102406.48138707492</v>
      </c>
      <c r="AE573" s="98"/>
      <c r="AF573" s="98">
        <f t="shared" si="570"/>
        <v>0</v>
      </c>
      <c r="AG573" s="98"/>
      <c r="AH573" s="98">
        <f t="shared" si="571"/>
        <v>0</v>
      </c>
      <c r="AI573" s="98"/>
      <c r="AJ573" s="98">
        <f t="shared" si="572"/>
        <v>0</v>
      </c>
      <c r="AK573" s="98">
        <f t="shared" si="573"/>
        <v>5699724.4260474546</v>
      </c>
      <c r="AL573" s="95" t="str">
        <f t="shared" si="574"/>
        <v>ok</v>
      </c>
    </row>
    <row r="574" spans="1:38" x14ac:dyDescent="0.25">
      <c r="A574" s="104" t="s">
        <v>2030</v>
      </c>
      <c r="C574" s="94" t="s">
        <v>1702</v>
      </c>
      <c r="D574" s="94" t="s">
        <v>131</v>
      </c>
      <c r="F574" s="98">
        <f>'Jurisdictional Study'!F1149+'Jurisdictional Study'!F1151</f>
        <v>6534688.0920223221</v>
      </c>
      <c r="H574" s="98">
        <f t="shared" si="549"/>
        <v>1472318.4797920338</v>
      </c>
      <c r="I574" s="98">
        <f t="shared" si="550"/>
        <v>1387921.8698153752</v>
      </c>
      <c r="J574" s="98">
        <f t="shared" si="551"/>
        <v>1425405.3416786657</v>
      </c>
      <c r="K574" s="98">
        <f t="shared" si="552"/>
        <v>0</v>
      </c>
      <c r="L574" s="98">
        <f t="shared" si="553"/>
        <v>0</v>
      </c>
      <c r="M574" s="98">
        <f t="shared" si="554"/>
        <v>0</v>
      </c>
      <c r="N574" s="98"/>
      <c r="O574" s="98">
        <f t="shared" si="555"/>
        <v>219801.65421845045</v>
      </c>
      <c r="P574" s="98">
        <f t="shared" si="556"/>
        <v>207202.12854658684</v>
      </c>
      <c r="Q574" s="98">
        <f t="shared" si="557"/>
        <v>212798.01641628594</v>
      </c>
      <c r="R574" s="98"/>
      <c r="S574" s="98">
        <f t="shared" si="558"/>
        <v>0</v>
      </c>
      <c r="T574" s="98">
        <f t="shared" si="559"/>
        <v>174814.24634342114</v>
      </c>
      <c r="U574" s="98">
        <f t="shared" si="560"/>
        <v>0</v>
      </c>
      <c r="V574" s="98">
        <f t="shared" si="561"/>
        <v>283135.41647027049</v>
      </c>
      <c r="W574" s="98">
        <f t="shared" si="562"/>
        <v>405251.90886637202</v>
      </c>
      <c r="X574" s="98">
        <f t="shared" si="563"/>
        <v>49965.073494753618</v>
      </c>
      <c r="Y574" s="98">
        <f t="shared" si="564"/>
        <v>71515.042741124475</v>
      </c>
      <c r="Z574" s="98">
        <f t="shared" si="565"/>
        <v>175863.99555011763</v>
      </c>
      <c r="AA574" s="98">
        <f t="shared" si="566"/>
        <v>150474.83456700546</v>
      </c>
      <c r="AB574" s="98">
        <f t="shared" si="567"/>
        <v>100873.02844890449</v>
      </c>
      <c r="AC574" s="98">
        <f t="shared" si="568"/>
        <v>79938.849966083144</v>
      </c>
      <c r="AD574" s="98">
        <f t="shared" si="569"/>
        <v>117408.20510687132</v>
      </c>
      <c r="AE574" s="98"/>
      <c r="AF574" s="98">
        <f t="shared" si="570"/>
        <v>0</v>
      </c>
      <c r="AG574" s="98"/>
      <c r="AH574" s="98">
        <f t="shared" si="571"/>
        <v>0</v>
      </c>
      <c r="AI574" s="98"/>
      <c r="AJ574" s="98">
        <f t="shared" si="572"/>
        <v>0</v>
      </c>
      <c r="AK574" s="98">
        <f t="shared" si="573"/>
        <v>6534688.0920223221</v>
      </c>
      <c r="AL574" s="95" t="str">
        <f t="shared" si="574"/>
        <v>ok</v>
      </c>
    </row>
    <row r="575" spans="1:38" x14ac:dyDescent="0.25">
      <c r="F575" s="98"/>
      <c r="AL575" s="95"/>
    </row>
    <row r="576" spans="1:38" x14ac:dyDescent="0.25">
      <c r="A576" s="94" t="s">
        <v>1041</v>
      </c>
      <c r="C576" s="94" t="s">
        <v>1042</v>
      </c>
      <c r="F576" s="97">
        <f>SUM(F567:F575)</f>
        <v>167700748.64225844</v>
      </c>
      <c r="H576" s="98">
        <f t="shared" ref="H576:M576" si="575">SUM(H567:H575)</f>
        <v>41725938.972414523</v>
      </c>
      <c r="I576" s="98">
        <f t="shared" si="575"/>
        <v>39334114.210517809</v>
      </c>
      <c r="J576" s="98">
        <f t="shared" si="575"/>
        <v>40396406.833281592</v>
      </c>
      <c r="K576" s="98">
        <f t="shared" si="575"/>
        <v>0</v>
      </c>
      <c r="L576" s="98">
        <f t="shared" si="575"/>
        <v>0</v>
      </c>
      <c r="M576" s="98">
        <f t="shared" si="575"/>
        <v>0</v>
      </c>
      <c r="N576" s="98"/>
      <c r="O576" s="98">
        <f>SUM(O567:O575)</f>
        <v>3603181.6211745809</v>
      </c>
      <c r="P576" s="98">
        <f>SUM(P567:P575)</f>
        <v>3396639.138599555</v>
      </c>
      <c r="Q576" s="98">
        <f>SUM(Q567:Q575)</f>
        <v>3488371.8436965528</v>
      </c>
      <c r="S576" s="98">
        <f t="shared" ref="S576:AD576" si="576">SUM(S567:S575)</f>
        <v>0</v>
      </c>
      <c r="T576" s="98">
        <f t="shared" si="576"/>
        <v>3884238.9213455985</v>
      </c>
      <c r="U576" s="98">
        <f t="shared" si="576"/>
        <v>0</v>
      </c>
      <c r="V576" s="98">
        <f t="shared" si="576"/>
        <v>6291052.5181382522</v>
      </c>
      <c r="W576" s="98">
        <f t="shared" si="576"/>
        <v>9004387.6302624922</v>
      </c>
      <c r="X576" s="98">
        <f t="shared" si="576"/>
        <v>1110185.7384949857</v>
      </c>
      <c r="Y576" s="98">
        <f t="shared" si="576"/>
        <v>1589009.5818110283</v>
      </c>
      <c r="Z576" s="98">
        <f t="shared" si="576"/>
        <v>3907563.5462637078</v>
      </c>
      <c r="AA576" s="98">
        <f t="shared" si="576"/>
        <v>3343435.7973319637</v>
      </c>
      <c r="AB576" s="98">
        <f t="shared" si="576"/>
        <v>2241321.5822554841</v>
      </c>
      <c r="AC576" s="98">
        <f t="shared" si="576"/>
        <v>1776180.1389795695</v>
      </c>
      <c r="AD576" s="98">
        <f t="shared" si="576"/>
        <v>2608720.5676907296</v>
      </c>
      <c r="AF576" s="98">
        <f>SUM(AF567:AF575)</f>
        <v>0</v>
      </c>
      <c r="AH576" s="98">
        <f>SUM(AH567:AH575)</f>
        <v>0</v>
      </c>
      <c r="AJ576" s="98">
        <f>SUM(AJ567:AJ575)</f>
        <v>0</v>
      </c>
      <c r="AK576" s="98">
        <f>SUM(H576:AJ576)</f>
        <v>167700748.64225844</v>
      </c>
      <c r="AL576" s="95" t="str">
        <f>IF(ABS(AK576-F576)&lt;1,"ok","err")</f>
        <v>ok</v>
      </c>
    </row>
    <row r="577" spans="1:38" x14ac:dyDescent="0.25">
      <c r="F577" s="98"/>
      <c r="AL577" s="95"/>
    </row>
    <row r="578" spans="1:38" x14ac:dyDescent="0.25">
      <c r="A578" s="16" t="s">
        <v>322</v>
      </c>
      <c r="AL578" s="95"/>
    </row>
    <row r="579" spans="1:38" x14ac:dyDescent="0.25">
      <c r="A579" s="104" t="s">
        <v>84</v>
      </c>
      <c r="C579" s="94" t="s">
        <v>87</v>
      </c>
      <c r="D579" s="94" t="s">
        <v>1903</v>
      </c>
      <c r="F579" s="97">
        <f>'Jurisdictional Study'!F1161+'Jurisdictional Study'!F1184</f>
        <v>-2647544.4533641296</v>
      </c>
      <c r="H579" s="98">
        <f>IF(VLOOKUP($D579,$C$5:$AJ$646,6,)=0,0,((VLOOKUP($D579,$C$5:$AJ$646,6,)/VLOOKUP($D579,$C$5:$AJ$646,4,))*$F579))</f>
        <v>-909554.57019806758</v>
      </c>
      <c r="I579" s="98">
        <f>IF(VLOOKUP($D579,$C$5:$AJ$646,7,)=0,0,((VLOOKUP($D579,$C$5:$AJ$646,7,)/VLOOKUP($D579,$C$5:$AJ$646,4,))*$F579))</f>
        <v>-857416.85450197977</v>
      </c>
      <c r="J579" s="98">
        <f>IF(VLOOKUP($D579,$C$5:$AJ$646,8,)=0,0,((VLOOKUP($D579,$C$5:$AJ$646,8,)/VLOOKUP($D579,$C$5:$AJ$646,4,))*$F579))</f>
        <v>-880573.02866408241</v>
      </c>
      <c r="K579" s="98">
        <f>IF(VLOOKUP($D579,$C$5:$AJ$646,9,)=0,0,((VLOOKUP($D579,$C$5:$AJ$646,9,)/VLOOKUP($D579,$C$5:$AJ$646,4,))*$F579))</f>
        <v>0</v>
      </c>
      <c r="L579" s="98">
        <f>IF(VLOOKUP($D579,$C$5:$AJ$646,10,)=0,0,((VLOOKUP($D579,$C$5:$AJ$646,10,)/VLOOKUP($D579,$C$5:$AJ$646,4,))*$F579))</f>
        <v>0</v>
      </c>
      <c r="M579" s="98">
        <f>IF(VLOOKUP($D579,$C$5:$AJ$646,11,)=0,0,((VLOOKUP($D579,$C$5:$AJ$646,11,)/VLOOKUP($D579,$C$5:$AJ$646,4,))*$F579))</f>
        <v>0</v>
      </c>
      <c r="N579" s="98"/>
      <c r="O579" s="98">
        <f>IF(VLOOKUP($D579,$C$5:$AJ$646,13,)=0,0,((VLOOKUP($D579,$C$5:$AJ$646,13,)/VLOOKUP($D579,$C$5:$AJ$646,4,))*$F579))</f>
        <v>0</v>
      </c>
      <c r="P579" s="98">
        <f>IF(VLOOKUP($D579,$C$5:$AJ$646,14,)=0,0,((VLOOKUP($D579,$C$5:$AJ$646,14,)/VLOOKUP($D579,$C$5:$AJ$646,4,))*$F579))</f>
        <v>0</v>
      </c>
      <c r="Q579" s="98">
        <f>IF(VLOOKUP($D579,$C$5:$AJ$646,15,)=0,0,((VLOOKUP($D579,$C$5:$AJ$646,15,)/VLOOKUP($D579,$C$5:$AJ$646,4,))*$F579))</f>
        <v>0</v>
      </c>
      <c r="R579" s="98"/>
      <c r="S579" s="98">
        <f>IF(VLOOKUP($D579,$C$5:$AJ$646,17,)=0,0,((VLOOKUP($D579,$C$5:$AJ$646,17,)/VLOOKUP($D579,$C$5:$AJ$646,4,))*$F579))</f>
        <v>0</v>
      </c>
      <c r="T579" s="98">
        <f>IF(VLOOKUP($D579,$C$5:$AJ$646,18,)=0,0,((VLOOKUP($D579,$C$5:$AJ$646,18,)/VLOOKUP($D579,$C$5:$AJ$646,4,))*$F579))</f>
        <v>0</v>
      </c>
      <c r="U579" s="98">
        <f>IF(VLOOKUP($D579,$C$5:$AJ$646,19,)=0,0,((VLOOKUP($D579,$C$5:$AJ$646,19,)/VLOOKUP($D579,$C$5:$AJ$646,4,))*$F579))</f>
        <v>0</v>
      </c>
      <c r="V579" s="98">
        <f>IF(VLOOKUP($D579,$C$5:$AJ$646,20,)=0,0,((VLOOKUP($D579,$C$5:$AJ$646,20,)/VLOOKUP($D579,$C$5:$AJ$646,4,))*$F579))</f>
        <v>0</v>
      </c>
      <c r="W579" s="98">
        <f>IF(VLOOKUP($D579,$C$5:$AJ$646,21,)=0,0,((VLOOKUP($D579,$C$5:$AJ$646,21,)/VLOOKUP($D579,$C$5:$AJ$646,4,))*$F579))</f>
        <v>0</v>
      </c>
      <c r="X579" s="98">
        <f>IF(VLOOKUP($D579,$C$5:$AJ$646,22,)=0,0,((VLOOKUP($D579,$C$5:$AJ$646,22,)/VLOOKUP($D579,$C$5:$AJ$646,4,))*$F579))</f>
        <v>0</v>
      </c>
      <c r="Y579" s="98">
        <f>IF(VLOOKUP($D579,$C$5:$AJ$646,23,)=0,0,((VLOOKUP($D579,$C$5:$AJ$646,23,)/VLOOKUP($D579,$C$5:$AJ$646,4,))*$F579))</f>
        <v>0</v>
      </c>
      <c r="Z579" s="98">
        <f>IF(VLOOKUP($D579,$C$5:$AJ$646,24,)=0,0,((VLOOKUP($D579,$C$5:$AJ$646,24,)/VLOOKUP($D579,$C$5:$AJ$646,4,))*$F579))</f>
        <v>0</v>
      </c>
      <c r="AA579" s="98">
        <f>IF(VLOOKUP($D579,$C$5:$AJ$646,25,)=0,0,((VLOOKUP($D579,$C$5:$AJ$646,25,)/VLOOKUP($D579,$C$5:$AJ$646,4,))*$F579))</f>
        <v>0</v>
      </c>
      <c r="AB579" s="98">
        <f>IF(VLOOKUP($D579,$C$5:$AJ$646,26,)=0,0,((VLOOKUP($D579,$C$5:$AJ$646,26,)/VLOOKUP($D579,$C$5:$AJ$646,4,))*$F579))</f>
        <v>0</v>
      </c>
      <c r="AC579" s="98">
        <f>IF(VLOOKUP($D579,$C$5:$AJ$646,27,)=0,0,((VLOOKUP($D579,$C$5:$AJ$646,27,)/VLOOKUP($D579,$C$5:$AJ$646,4,))*$F579))</f>
        <v>0</v>
      </c>
      <c r="AD579" s="98">
        <f>IF(VLOOKUP($D579,$C$5:$AJ$646,28,)=0,0,((VLOOKUP($D579,$C$5:$AJ$646,28,)/VLOOKUP($D579,$C$5:$AJ$646,4,))*$F579))</f>
        <v>0</v>
      </c>
      <c r="AE579" s="98"/>
      <c r="AF579" s="98">
        <f>IF(VLOOKUP($D579,$C$5:$AJ$646,30,)=0,0,((VLOOKUP($D579,$C$5:$AJ$646,30,)/VLOOKUP($D579,$C$5:$AJ$646,4,))*$F579))</f>
        <v>0</v>
      </c>
      <c r="AG579" s="98"/>
      <c r="AH579" s="98">
        <f>IF(VLOOKUP($D579,$C$5:$AJ$646,32,)=0,0,((VLOOKUP($D579,$C$5:$AJ$646,32,)/VLOOKUP($D579,$C$5:$AJ$646,4,))*$F579))</f>
        <v>0</v>
      </c>
      <c r="AI579" s="98"/>
      <c r="AJ579" s="98">
        <f>IF(VLOOKUP($D579,$C$5:$AJ$646,34,)=0,0,((VLOOKUP($D579,$C$5:$AJ$646,34,)/VLOOKUP($D579,$C$5:$AJ$646,4,))*$F579))</f>
        <v>0</v>
      </c>
      <c r="AK579" s="98">
        <f>SUM(H579:AJ579)</f>
        <v>-2647544.4533641296</v>
      </c>
      <c r="AL579" s="95" t="str">
        <f>IF(ABS(AK579-F579)&lt;1,"ok","err")</f>
        <v>ok</v>
      </c>
    </row>
    <row r="580" spans="1:38" x14ac:dyDescent="0.25">
      <c r="A580" s="104" t="s">
        <v>85</v>
      </c>
      <c r="C580" s="94" t="s">
        <v>88</v>
      </c>
      <c r="D580" s="94" t="s">
        <v>584</v>
      </c>
      <c r="F580" s="98">
        <f>'Jurisdictional Study'!F1168+'Jurisdictional Study'!F1191</f>
        <v>-5403.6107021218613</v>
      </c>
      <c r="H580" s="98">
        <f>IF(VLOOKUP($D580,$C$5:$AJ$646,6,)=0,0,((VLOOKUP($D580,$C$5:$AJ$646,6,)/VLOOKUP($D580,$C$5:$AJ$646,4,))*$F580))</f>
        <v>0</v>
      </c>
      <c r="I580" s="98">
        <f>IF(VLOOKUP($D580,$C$5:$AJ$646,7,)=0,0,((VLOOKUP($D580,$C$5:$AJ$646,7,)/VLOOKUP($D580,$C$5:$AJ$646,4,))*$F580))</f>
        <v>0</v>
      </c>
      <c r="J580" s="98">
        <f>IF(VLOOKUP($D580,$C$5:$AJ$646,8,)=0,0,((VLOOKUP($D580,$C$5:$AJ$646,8,)/VLOOKUP($D580,$C$5:$AJ$646,4,))*$F580))</f>
        <v>0</v>
      </c>
      <c r="K580" s="98">
        <f>IF(VLOOKUP($D580,$C$5:$AJ$646,9,)=0,0,((VLOOKUP($D580,$C$5:$AJ$646,9,)/VLOOKUP($D580,$C$5:$AJ$646,4,))*$F580))</f>
        <v>0</v>
      </c>
      <c r="L580" s="98">
        <f>IF(VLOOKUP($D580,$C$5:$AJ$646,10,)=0,0,((VLOOKUP($D580,$C$5:$AJ$646,10,)/VLOOKUP($D580,$C$5:$AJ$646,4,))*$F580))</f>
        <v>0</v>
      </c>
      <c r="M580" s="98">
        <f>IF(VLOOKUP($D580,$C$5:$AJ$646,11,)=0,0,((VLOOKUP($D580,$C$5:$AJ$646,11,)/VLOOKUP($D580,$C$5:$AJ$646,4,))*$F580))</f>
        <v>0</v>
      </c>
      <c r="N580" s="98"/>
      <c r="O580" s="98">
        <f>IF(VLOOKUP($D580,$C$5:$AJ$646,13,)=0,0,((VLOOKUP($D580,$C$5:$AJ$646,13,)/VLOOKUP($D580,$C$5:$AJ$646,4,))*$F580))</f>
        <v>-1856.3914209036172</v>
      </c>
      <c r="P580" s="98">
        <f>IF(VLOOKUP($D580,$C$5:$AJ$646,14,)=0,0,((VLOOKUP($D580,$C$5:$AJ$646,14,)/VLOOKUP($D580,$C$5:$AJ$646,4,))*$F580))</f>
        <v>-1749.9788852570177</v>
      </c>
      <c r="Q580" s="98">
        <f>IF(VLOOKUP($D580,$C$5:$AJ$646,15,)=0,0,((VLOOKUP($D580,$C$5:$AJ$646,15,)/VLOOKUP($D580,$C$5:$AJ$646,4,))*$F580))</f>
        <v>-1797.2403959612259</v>
      </c>
      <c r="R580" s="98"/>
      <c r="S580" s="98">
        <f>IF(VLOOKUP($D580,$C$5:$AJ$646,17,)=0,0,((VLOOKUP($D580,$C$5:$AJ$646,17,)/VLOOKUP($D580,$C$5:$AJ$646,4,))*$F580))</f>
        <v>0</v>
      </c>
      <c r="T580" s="98">
        <f>IF(VLOOKUP($D580,$C$5:$AJ$646,18,)=0,0,((VLOOKUP($D580,$C$5:$AJ$646,18,)/VLOOKUP($D580,$C$5:$AJ$646,4,))*$F580))</f>
        <v>0</v>
      </c>
      <c r="U580" s="98">
        <f>IF(VLOOKUP($D580,$C$5:$AJ$646,19,)=0,0,((VLOOKUP($D580,$C$5:$AJ$646,19,)/VLOOKUP($D580,$C$5:$AJ$646,4,))*$F580))</f>
        <v>0</v>
      </c>
      <c r="V580" s="98">
        <f>IF(VLOOKUP($D580,$C$5:$AJ$646,20,)=0,0,((VLOOKUP($D580,$C$5:$AJ$646,20,)/VLOOKUP($D580,$C$5:$AJ$646,4,))*$F580))</f>
        <v>0</v>
      </c>
      <c r="W580" s="98">
        <f>IF(VLOOKUP($D580,$C$5:$AJ$646,21,)=0,0,((VLOOKUP($D580,$C$5:$AJ$646,21,)/VLOOKUP($D580,$C$5:$AJ$646,4,))*$F580))</f>
        <v>0</v>
      </c>
      <c r="X580" s="98">
        <f>IF(VLOOKUP($D580,$C$5:$AJ$646,22,)=0,0,((VLOOKUP($D580,$C$5:$AJ$646,22,)/VLOOKUP($D580,$C$5:$AJ$646,4,))*$F580))</f>
        <v>0</v>
      </c>
      <c r="Y580" s="98">
        <f>IF(VLOOKUP($D580,$C$5:$AJ$646,23,)=0,0,((VLOOKUP($D580,$C$5:$AJ$646,23,)/VLOOKUP($D580,$C$5:$AJ$646,4,))*$F580))</f>
        <v>0</v>
      </c>
      <c r="Z580" s="98">
        <f>IF(VLOOKUP($D580,$C$5:$AJ$646,24,)=0,0,((VLOOKUP($D580,$C$5:$AJ$646,24,)/VLOOKUP($D580,$C$5:$AJ$646,4,))*$F580))</f>
        <v>0</v>
      </c>
      <c r="AA580" s="98">
        <f>IF(VLOOKUP($D580,$C$5:$AJ$646,25,)=0,0,((VLOOKUP($D580,$C$5:$AJ$646,25,)/VLOOKUP($D580,$C$5:$AJ$646,4,))*$F580))</f>
        <v>0</v>
      </c>
      <c r="AB580" s="98">
        <f>IF(VLOOKUP($D580,$C$5:$AJ$646,26,)=0,0,((VLOOKUP($D580,$C$5:$AJ$646,26,)/VLOOKUP($D580,$C$5:$AJ$646,4,))*$F580))</f>
        <v>0</v>
      </c>
      <c r="AC580" s="98">
        <f>IF(VLOOKUP($D580,$C$5:$AJ$646,27,)=0,0,((VLOOKUP($D580,$C$5:$AJ$646,27,)/VLOOKUP($D580,$C$5:$AJ$646,4,))*$F580))</f>
        <v>0</v>
      </c>
      <c r="AD580" s="98">
        <f>IF(VLOOKUP($D580,$C$5:$AJ$646,28,)=0,0,((VLOOKUP($D580,$C$5:$AJ$646,28,)/VLOOKUP($D580,$C$5:$AJ$646,4,))*$F580))</f>
        <v>0</v>
      </c>
      <c r="AE580" s="98"/>
      <c r="AF580" s="98">
        <f>IF(VLOOKUP($D580,$C$5:$AJ$646,30,)=0,0,((VLOOKUP($D580,$C$5:$AJ$646,30,)/VLOOKUP($D580,$C$5:$AJ$646,4,))*$F580))</f>
        <v>0</v>
      </c>
      <c r="AG580" s="98"/>
      <c r="AH580" s="98">
        <f>IF(VLOOKUP($D580,$C$5:$AJ$646,32,)=0,0,((VLOOKUP($D580,$C$5:$AJ$646,32,)/VLOOKUP($D580,$C$5:$AJ$646,4,))*$F580))</f>
        <v>0</v>
      </c>
      <c r="AI580" s="98"/>
      <c r="AJ580" s="98">
        <f>IF(VLOOKUP($D580,$C$5:$AJ$646,34,)=0,0,((VLOOKUP($D580,$C$5:$AJ$646,34,)/VLOOKUP($D580,$C$5:$AJ$646,4,))*$F580))</f>
        <v>0</v>
      </c>
      <c r="AK580" s="98">
        <f>SUM(H580:AJ580)</f>
        <v>-5403.6107021218604</v>
      </c>
      <c r="AL580" s="95" t="str">
        <f>IF(ABS(AK580-F580)&lt;1,"ok","err")</f>
        <v>ok</v>
      </c>
    </row>
    <row r="581" spans="1:38" x14ac:dyDescent="0.25">
      <c r="A581" s="104" t="s">
        <v>728</v>
      </c>
      <c r="D581" s="94" t="s">
        <v>129</v>
      </c>
      <c r="F581" s="98">
        <f>'Jurisdictional Study'!F1174+'Jurisdictional Study'!F1200</f>
        <v>-12404.187357141953</v>
      </c>
      <c r="H581" s="98">
        <f>IF(VLOOKUP($D581,$C$5:$AJ$646,6,)=0,0,((VLOOKUP($D581,$C$5:$AJ$646,6,)/VLOOKUP($D581,$C$5:$AJ$646,4,))*$F581))</f>
        <v>0</v>
      </c>
      <c r="I581" s="98">
        <f>IF(VLOOKUP($D581,$C$5:$AJ$646,7,)=0,0,((VLOOKUP($D581,$C$5:$AJ$646,7,)/VLOOKUP($D581,$C$5:$AJ$646,4,))*$F581))</f>
        <v>0</v>
      </c>
      <c r="J581" s="98">
        <f>IF(VLOOKUP($D581,$C$5:$AJ$646,8,)=0,0,((VLOOKUP($D581,$C$5:$AJ$646,8,)/VLOOKUP($D581,$C$5:$AJ$646,4,))*$F581))</f>
        <v>0</v>
      </c>
      <c r="K581" s="98">
        <f>IF(VLOOKUP($D581,$C$5:$AJ$646,9,)=0,0,((VLOOKUP($D581,$C$5:$AJ$646,9,)/VLOOKUP($D581,$C$5:$AJ$646,4,))*$F581))</f>
        <v>0</v>
      </c>
      <c r="L581" s="98">
        <f>IF(VLOOKUP($D581,$C$5:$AJ$646,10,)=0,0,((VLOOKUP($D581,$C$5:$AJ$646,10,)/VLOOKUP($D581,$C$5:$AJ$646,4,))*$F581))</f>
        <v>0</v>
      </c>
      <c r="M581" s="98">
        <f>IF(VLOOKUP($D581,$C$5:$AJ$646,11,)=0,0,((VLOOKUP($D581,$C$5:$AJ$646,11,)/VLOOKUP($D581,$C$5:$AJ$646,4,))*$F581))</f>
        <v>0</v>
      </c>
      <c r="N581" s="98"/>
      <c r="O581" s="98">
        <f>IF(VLOOKUP($D581,$C$5:$AJ$646,13,)=0,0,((VLOOKUP($D581,$C$5:$AJ$646,13,)/VLOOKUP($D581,$C$5:$AJ$646,4,))*$F581))</f>
        <v>0</v>
      </c>
      <c r="P581" s="98">
        <f>IF(VLOOKUP($D581,$C$5:$AJ$646,14,)=0,0,((VLOOKUP($D581,$C$5:$AJ$646,14,)/VLOOKUP($D581,$C$5:$AJ$646,4,))*$F581))</f>
        <v>0</v>
      </c>
      <c r="Q581" s="98">
        <f>IF(VLOOKUP($D581,$C$5:$AJ$646,15,)=0,0,((VLOOKUP($D581,$C$5:$AJ$646,15,)/VLOOKUP($D581,$C$5:$AJ$646,4,))*$F581))</f>
        <v>0</v>
      </c>
      <c r="R581" s="98"/>
      <c r="S581" s="98">
        <f>IF(VLOOKUP($D581,$C$5:$AJ$646,17,)=0,0,((VLOOKUP($D581,$C$5:$AJ$646,17,)/VLOOKUP($D581,$C$5:$AJ$646,4,))*$F581))</f>
        <v>0</v>
      </c>
      <c r="T581" s="98">
        <f>IF(VLOOKUP($D581,$C$5:$AJ$646,18,)=0,0,((VLOOKUP($D581,$C$5:$AJ$646,18,)/VLOOKUP($D581,$C$5:$AJ$646,4,))*$F581))</f>
        <v>-1347.4856788016193</v>
      </c>
      <c r="U581" s="98">
        <f>IF(VLOOKUP($D581,$C$5:$AJ$646,19,)=0,0,((VLOOKUP($D581,$C$5:$AJ$646,19,)/VLOOKUP($D581,$C$5:$AJ$646,4,))*$F581))</f>
        <v>0</v>
      </c>
      <c r="V581" s="98">
        <f>IF(VLOOKUP($D581,$C$5:$AJ$646,20,)=0,0,((VLOOKUP($D581,$C$5:$AJ$646,20,)/VLOOKUP($D581,$C$5:$AJ$646,4,))*$F581))</f>
        <v>-2182.4360819296558</v>
      </c>
      <c r="W581" s="98">
        <f>IF(VLOOKUP($D581,$C$5:$AJ$646,21,)=0,0,((VLOOKUP($D581,$C$5:$AJ$646,21,)/VLOOKUP($D581,$C$5:$AJ$646,4,))*$F581))</f>
        <v>-3123.7222075808568</v>
      </c>
      <c r="X581" s="98">
        <f>IF(VLOOKUP($D581,$C$5:$AJ$646,22,)=0,0,((VLOOKUP($D581,$C$5:$AJ$646,22,)/VLOOKUP($D581,$C$5:$AJ$646,4,))*$F581))</f>
        <v>-385.13577916405688</v>
      </c>
      <c r="Y581" s="98">
        <f>IF(VLOOKUP($D581,$C$5:$AJ$646,23,)=0,0,((VLOOKUP($D581,$C$5:$AJ$646,23,)/VLOOKUP($D581,$C$5:$AJ$646,4,))*$F581))</f>
        <v>-551.24509545544538</v>
      </c>
      <c r="Z581" s="98">
        <f>IF(VLOOKUP($D581,$C$5:$AJ$646,24,)=0,0,((VLOOKUP($D581,$C$5:$AJ$646,24,)/VLOOKUP($D581,$C$5:$AJ$646,4,))*$F581))</f>
        <v>-1355.5772505810617</v>
      </c>
      <c r="AA581" s="98">
        <f>IF(VLOOKUP($D581,$C$5:$AJ$646,25,)=0,0,((VLOOKUP($D581,$C$5:$AJ$646,25,)/VLOOKUP($D581,$C$5:$AJ$646,4,))*$F581))</f>
        <v>-1159.8750607588188</v>
      </c>
      <c r="AB581" s="98">
        <f>IF(VLOOKUP($D581,$C$5:$AJ$646,26,)=0,0,((VLOOKUP($D581,$C$5:$AJ$646,26,)/VLOOKUP($D581,$C$5:$AJ$646,4,))*$F581))</f>
        <v>-777.53938283281366</v>
      </c>
      <c r="AC581" s="98">
        <f>IF(VLOOKUP($D581,$C$5:$AJ$646,27,)=0,0,((VLOOKUP($D581,$C$5:$AJ$646,27,)/VLOOKUP($D581,$C$5:$AJ$646,4,))*$F581))</f>
        <v>-616.17664327860484</v>
      </c>
      <c r="AD581" s="98">
        <f>IF(VLOOKUP($D581,$C$5:$AJ$646,28,)=0,0,((VLOOKUP($D581,$C$5:$AJ$646,28,)/VLOOKUP($D581,$C$5:$AJ$646,4,))*$F581))</f>
        <v>-904.99417675901611</v>
      </c>
      <c r="AE581" s="98"/>
      <c r="AF581" s="98">
        <f>IF(VLOOKUP($D581,$C$5:$AJ$646,30,)=0,0,((VLOOKUP($D581,$C$5:$AJ$646,30,)/VLOOKUP($D581,$C$5:$AJ$646,4,))*$F581))</f>
        <v>0</v>
      </c>
      <c r="AG581" s="98"/>
      <c r="AH581" s="98">
        <f>IF(VLOOKUP($D581,$C$5:$AJ$646,32,)=0,0,((VLOOKUP($D581,$C$5:$AJ$646,32,)/VLOOKUP($D581,$C$5:$AJ$646,4,))*$F581))</f>
        <v>0</v>
      </c>
      <c r="AI581" s="98"/>
      <c r="AJ581" s="98">
        <f>IF(VLOOKUP($D581,$C$5:$AJ$646,34,)=0,0,((VLOOKUP($D581,$C$5:$AJ$646,34,)/VLOOKUP($D581,$C$5:$AJ$646,4,))*$F581))</f>
        <v>0</v>
      </c>
      <c r="AK581" s="98">
        <f>SUM(H581:AJ581)</f>
        <v>-12404.187357141947</v>
      </c>
      <c r="AL581" s="95" t="str">
        <f>IF(ABS(AK581-F581)&lt;1,"ok","err")</f>
        <v>ok</v>
      </c>
    </row>
    <row r="582" spans="1:38" x14ac:dyDescent="0.25">
      <c r="F582" s="98"/>
      <c r="AL582" s="95"/>
    </row>
    <row r="583" spans="1:38" x14ac:dyDescent="0.25">
      <c r="A583" s="94" t="s">
        <v>323</v>
      </c>
      <c r="C583" s="94" t="s">
        <v>86</v>
      </c>
      <c r="F583" s="97">
        <f>SUM(F579:F581)</f>
        <v>-2665352.2514233934</v>
      </c>
      <c r="H583" s="97">
        <f t="shared" ref="H583:M583" si="577">SUM(H579:H581)</f>
        <v>-909554.57019806758</v>
      </c>
      <c r="I583" s="97">
        <f t="shared" si="577"/>
        <v>-857416.85450197977</v>
      </c>
      <c r="J583" s="97">
        <f t="shared" si="577"/>
        <v>-880573.02866408241</v>
      </c>
      <c r="K583" s="97">
        <f t="shared" si="577"/>
        <v>0</v>
      </c>
      <c r="L583" s="97">
        <f t="shared" si="577"/>
        <v>0</v>
      </c>
      <c r="M583" s="97">
        <f t="shared" si="577"/>
        <v>0</v>
      </c>
      <c r="N583" s="98"/>
      <c r="O583" s="97">
        <f>SUM(O579:O581)</f>
        <v>-1856.3914209036172</v>
      </c>
      <c r="P583" s="97">
        <f>SUM(P579:P581)</f>
        <v>-1749.9788852570177</v>
      </c>
      <c r="Q583" s="97">
        <f>SUM(Q579:Q581)</f>
        <v>-1797.2403959612259</v>
      </c>
      <c r="S583" s="97">
        <f t="shared" ref="S583:AD583" si="578">SUM(S579:S581)</f>
        <v>0</v>
      </c>
      <c r="T583" s="97">
        <f t="shared" si="578"/>
        <v>-1347.4856788016193</v>
      </c>
      <c r="U583" s="97">
        <f t="shared" si="578"/>
        <v>0</v>
      </c>
      <c r="V583" s="97">
        <f t="shared" si="578"/>
        <v>-2182.4360819296558</v>
      </c>
      <c r="W583" s="97">
        <f t="shared" si="578"/>
        <v>-3123.7222075808568</v>
      </c>
      <c r="X583" s="97">
        <f t="shared" si="578"/>
        <v>-385.13577916405688</v>
      </c>
      <c r="Y583" s="97">
        <f t="shared" si="578"/>
        <v>-551.24509545544538</v>
      </c>
      <c r="Z583" s="97">
        <f t="shared" si="578"/>
        <v>-1355.5772505810617</v>
      </c>
      <c r="AA583" s="97">
        <f t="shared" si="578"/>
        <v>-1159.8750607588188</v>
      </c>
      <c r="AB583" s="97">
        <f t="shared" si="578"/>
        <v>-777.53938283281366</v>
      </c>
      <c r="AC583" s="97">
        <f t="shared" si="578"/>
        <v>-616.17664327860484</v>
      </c>
      <c r="AD583" s="97">
        <f t="shared" si="578"/>
        <v>-904.99417675901611</v>
      </c>
      <c r="AF583" s="97">
        <f>SUM(AF579:AF581)</f>
        <v>0</v>
      </c>
      <c r="AG583" s="97">
        <f>SUM(AG579:AG581)</f>
        <v>0</v>
      </c>
      <c r="AH583" s="97">
        <f>SUM(AH579:AH581)</f>
        <v>0</v>
      </c>
      <c r="AJ583" s="97">
        <f>SUM(AJ579:AJ581)</f>
        <v>0</v>
      </c>
      <c r="AK583" s="98">
        <f>SUM(H583:AJ583)</f>
        <v>-2665352.2514233938</v>
      </c>
      <c r="AL583" s="95" t="str">
        <f>IF(ABS(AK583-F583)&lt;1,"ok","err")</f>
        <v>ok</v>
      </c>
    </row>
    <row r="584" spans="1:38" x14ac:dyDescent="0.25">
      <c r="F584" s="98"/>
      <c r="AL584" s="95"/>
    </row>
    <row r="585" spans="1:38" x14ac:dyDescent="0.25">
      <c r="A585" s="94" t="s">
        <v>485</v>
      </c>
      <c r="C585" s="94" t="s">
        <v>486</v>
      </c>
      <c r="D585" s="94" t="s">
        <v>213</v>
      </c>
      <c r="F585" s="97">
        <f>'Jurisdictional Study'!F1207</f>
        <v>17000077.441468615</v>
      </c>
      <c r="H585" s="98">
        <f>IF(VLOOKUP($D585,$C$5:$AJ$646,6,)=0,0,((VLOOKUP($D585,$C$5:$AJ$646,6,)/VLOOKUP($D585,$C$5:$AJ$646,4,))*$F585))</f>
        <v>3869960.7348599462</v>
      </c>
      <c r="I585" s="98">
        <f>IF(VLOOKUP($D585,$C$5:$AJ$646,7,)=0,0,((VLOOKUP($D585,$C$5:$AJ$646,7,)/VLOOKUP($D585,$C$5:$AJ$646,4,))*$F585))</f>
        <v>3648125.8728733654</v>
      </c>
      <c r="J585" s="98">
        <f>IF(VLOOKUP($D585,$C$5:$AJ$646,8,)=0,0,((VLOOKUP($D585,$C$5:$AJ$646,8,)/VLOOKUP($D585,$C$5:$AJ$646,4,))*$F585))</f>
        <v>3746650.4559089951</v>
      </c>
      <c r="K585" s="98">
        <f>IF(VLOOKUP($D585,$C$5:$AJ$646,9,)=0,0,((VLOOKUP($D585,$C$5:$AJ$646,9,)/VLOOKUP($D585,$C$5:$AJ$646,4,))*$F585))</f>
        <v>0</v>
      </c>
      <c r="L585" s="98">
        <f>IF(VLOOKUP($D585,$C$5:$AJ$646,10,)=0,0,((VLOOKUP($D585,$C$5:$AJ$646,10,)/VLOOKUP($D585,$C$5:$AJ$646,4,))*$F585))</f>
        <v>0</v>
      </c>
      <c r="M585" s="98">
        <f>IF(VLOOKUP($D585,$C$5:$AJ$646,11,)=0,0,((VLOOKUP($D585,$C$5:$AJ$646,11,)/VLOOKUP($D585,$C$5:$AJ$646,4,))*$F585))</f>
        <v>0</v>
      </c>
      <c r="N585" s="98"/>
      <c r="O585" s="98">
        <f>IF(VLOOKUP($D585,$C$5:$AJ$646,13,)=0,0,((VLOOKUP($D585,$C$5:$AJ$646,13,)/VLOOKUP($D585,$C$5:$AJ$646,4,))*$F585))</f>
        <v>579588.00685832789</v>
      </c>
      <c r="P585" s="98">
        <f>IF(VLOOKUP($D585,$C$5:$AJ$646,14,)=0,0,((VLOOKUP($D585,$C$5:$AJ$646,14,)/VLOOKUP($D585,$C$5:$AJ$646,4,))*$F585))</f>
        <v>546364.71744550974</v>
      </c>
      <c r="Q585" s="98">
        <f>IF(VLOOKUP($D585,$C$5:$AJ$646,15,)=0,0,((VLOOKUP($D585,$C$5:$AJ$646,15,)/VLOOKUP($D585,$C$5:$AJ$646,4,))*$F585))</f>
        <v>561120.33659011463</v>
      </c>
      <c r="R585" s="98"/>
      <c r="S585" s="98">
        <f>IF(VLOOKUP($D585,$C$5:$AJ$646,17,)=0,0,((VLOOKUP($D585,$C$5:$AJ$646,17,)/VLOOKUP($D585,$C$5:$AJ$646,4,))*$F585))</f>
        <v>0</v>
      </c>
      <c r="T585" s="98">
        <f>IF(VLOOKUP($D585,$C$5:$AJ$646,18,)=0,0,((VLOOKUP($D585,$C$5:$AJ$646,18,)/VLOOKUP($D585,$C$5:$AJ$646,4,))*$F585))</f>
        <v>439769.41628394468</v>
      </c>
      <c r="U585" s="98">
        <f>IF(VLOOKUP($D585,$C$5:$AJ$646,19,)=0,0,((VLOOKUP($D585,$C$5:$AJ$646,19,)/VLOOKUP($D585,$C$5:$AJ$646,4,))*$F585))</f>
        <v>0</v>
      </c>
      <c r="V585" s="98">
        <f>IF(VLOOKUP($D585,$C$5:$AJ$646,20,)=0,0,((VLOOKUP($D585,$C$5:$AJ$646,20,)/VLOOKUP($D585,$C$5:$AJ$646,4,))*$F585))</f>
        <v>712266.30228886008</v>
      </c>
      <c r="W585" s="98">
        <f>IF(VLOOKUP($D585,$C$5:$AJ$646,21,)=0,0,((VLOOKUP($D585,$C$5:$AJ$646,21,)/VLOOKUP($D585,$C$5:$AJ$646,4,))*$F585))</f>
        <v>1019467.229575856</v>
      </c>
      <c r="X585" s="98">
        <f>IF(VLOOKUP($D585,$C$5:$AJ$646,22,)=0,0,((VLOOKUP($D585,$C$5:$AJ$646,22,)/VLOOKUP($D585,$C$5:$AJ$646,4,))*$F585))</f>
        <v>125694.05334509292</v>
      </c>
      <c r="Y585" s="98">
        <f>IF(VLOOKUP($D585,$C$5:$AJ$646,23,)=0,0,((VLOOKUP($D585,$C$5:$AJ$646,23,)/VLOOKUP($D585,$C$5:$AJ$646,4,))*$F585))</f>
        <v>179905.98168985694</v>
      </c>
      <c r="Z585" s="98">
        <f>IF(VLOOKUP($D585,$C$5:$AJ$646,24,)=0,0,((VLOOKUP($D585,$C$5:$AJ$646,24,)/VLOOKUP($D585,$C$5:$AJ$646,4,))*$F585))</f>
        <v>442410.2056104996</v>
      </c>
      <c r="AA585" s="98">
        <f>IF(VLOOKUP($D585,$C$5:$AJ$646,25,)=0,0,((VLOOKUP($D585,$C$5:$AJ$646,25,)/VLOOKUP($D585,$C$5:$AJ$646,4,))*$F585))</f>
        <v>378540.25943032355</v>
      </c>
      <c r="AB585" s="98">
        <f>IF(VLOOKUP($D585,$C$5:$AJ$646,26,)=0,0,((VLOOKUP($D585,$C$5:$AJ$646,26,)/VLOOKUP($D585,$C$5:$AJ$646,4,))*$F585))</f>
        <v>253760.05541689036</v>
      </c>
      <c r="AC585" s="98">
        <f>IF(VLOOKUP($D585,$C$5:$AJ$646,27,)=0,0,((VLOOKUP($D585,$C$5:$AJ$646,27,)/VLOOKUP($D585,$C$5:$AJ$646,4,))*$F585))</f>
        <v>201097.23391154959</v>
      </c>
      <c r="AD585" s="98">
        <f>IF(VLOOKUP($D585,$C$5:$AJ$646,28,)=0,0,((VLOOKUP($D585,$C$5:$AJ$646,28,)/VLOOKUP($D585,$C$5:$AJ$646,4,))*$F585))</f>
        <v>295356.57937947899</v>
      </c>
      <c r="AE585" s="98"/>
      <c r="AF585" s="98">
        <f>IF(VLOOKUP($D585,$C$5:$AJ$646,30,)=0,0,((VLOOKUP($D585,$C$5:$AJ$646,30,)/VLOOKUP($D585,$C$5:$AJ$646,4,))*$F585))</f>
        <v>0</v>
      </c>
      <c r="AG585" s="98"/>
      <c r="AH585" s="98">
        <f>IF(VLOOKUP($D585,$C$5:$AJ$646,32,)=0,0,((VLOOKUP($D585,$C$5:$AJ$646,32,)/VLOOKUP($D585,$C$5:$AJ$646,4,))*$F585))</f>
        <v>0</v>
      </c>
      <c r="AI585" s="98"/>
      <c r="AJ585" s="98">
        <f>IF(VLOOKUP($D585,$C$5:$AJ$646,34,)=0,0,((VLOOKUP($D585,$C$5:$AJ$646,34,)/VLOOKUP($D585,$C$5:$AJ$646,4,))*$F585))</f>
        <v>0</v>
      </c>
      <c r="AK585" s="98">
        <f>SUM(H585:AJ585)</f>
        <v>17000077.441468611</v>
      </c>
      <c r="AL585" s="95" t="str">
        <f>IF(ABS(AK585-F585)&lt;1,"ok","err")</f>
        <v>ok</v>
      </c>
    </row>
    <row r="586" spans="1:38" x14ac:dyDescent="0.25">
      <c r="AL586" s="95"/>
    </row>
    <row r="587" spans="1:38" x14ac:dyDescent="0.25">
      <c r="A587" s="94" t="s">
        <v>521</v>
      </c>
      <c r="C587" s="94" t="s">
        <v>2145</v>
      </c>
      <c r="D587" s="94" t="s">
        <v>213</v>
      </c>
      <c r="F587" s="97">
        <f>SUM('Jurisdictional Study'!$F$1208:$F$1212)</f>
        <v>8845972.7081135046</v>
      </c>
      <c r="G587" s="97">
        <v>600157</v>
      </c>
      <c r="H587" s="98">
        <f>IF(VLOOKUP($D587,$C$5:$AJ$646,6,)=0,0,((VLOOKUP($D587,$C$5:$AJ$646,6,)/VLOOKUP($D587,$C$5:$AJ$646,4,))*$F587))</f>
        <v>2013730.0644604929</v>
      </c>
      <c r="I587" s="98">
        <f>IF(VLOOKUP($D587,$C$5:$AJ$646,7,)=0,0,((VLOOKUP($D587,$C$5:$AJ$646,7,)/VLOOKUP($D587,$C$5:$AJ$646,4,))*$F587))</f>
        <v>1898298.5235397066</v>
      </c>
      <c r="J587" s="98">
        <f>IF(VLOOKUP($D587,$C$5:$AJ$646,8,)=0,0,((VLOOKUP($D587,$C$5:$AJ$646,8,)/VLOOKUP($D587,$C$5:$AJ$646,4,))*$F587))</f>
        <v>1949565.6883871718</v>
      </c>
      <c r="K587" s="98">
        <f>IF(VLOOKUP($D587,$C$5:$AJ$646,9,)=0,0,((VLOOKUP($D587,$C$5:$AJ$646,9,)/VLOOKUP($D587,$C$5:$AJ$646,4,))*$F587))</f>
        <v>0</v>
      </c>
      <c r="L587" s="98">
        <f>IF(VLOOKUP($D587,$C$5:$AJ$646,10,)=0,0,((VLOOKUP($D587,$C$5:$AJ$646,10,)/VLOOKUP($D587,$C$5:$AJ$646,4,))*$F587))</f>
        <v>0</v>
      </c>
      <c r="M587" s="98">
        <f>IF(VLOOKUP($D587,$C$5:$AJ$646,11,)=0,0,((VLOOKUP($D587,$C$5:$AJ$646,11,)/VLOOKUP($D587,$C$5:$AJ$646,4,))*$F587))</f>
        <v>0</v>
      </c>
      <c r="N587" s="98"/>
      <c r="O587" s="98">
        <f>IF(VLOOKUP($D587,$C$5:$AJ$646,13,)=0,0,((VLOOKUP($D587,$C$5:$AJ$646,13,)/VLOOKUP($D587,$C$5:$AJ$646,4,))*$F587))</f>
        <v>301588.01971761812</v>
      </c>
      <c r="P587" s="98">
        <f>IF(VLOOKUP($D587,$C$5:$AJ$646,14,)=0,0,((VLOOKUP($D587,$C$5:$AJ$646,14,)/VLOOKUP($D587,$C$5:$AJ$646,4,))*$F587))</f>
        <v>284300.31544500997</v>
      </c>
      <c r="Q587" s="98">
        <f>IF(VLOOKUP($D587,$C$5:$AJ$646,15,)=0,0,((VLOOKUP($D587,$C$5:$AJ$646,15,)/VLOOKUP($D587,$C$5:$AJ$646,4,))*$F587))</f>
        <v>291978.38660050323</v>
      </c>
      <c r="R587" s="98"/>
      <c r="S587" s="98">
        <f>IF(VLOOKUP($D587,$C$5:$AJ$646,17,)=0,0,((VLOOKUP($D587,$C$5:$AJ$646,17,)/VLOOKUP($D587,$C$5:$AJ$646,4,))*$F587))</f>
        <v>0</v>
      </c>
      <c r="T587" s="98">
        <f>IF(VLOOKUP($D587,$C$5:$AJ$646,18,)=0,0,((VLOOKUP($D587,$C$5:$AJ$646,18,)/VLOOKUP($D587,$C$5:$AJ$646,4,))*$F587))</f>
        <v>228833.5607708098</v>
      </c>
      <c r="U587" s="98">
        <f>IF(VLOOKUP($D587,$C$5:$AJ$646,19,)=0,0,((VLOOKUP($D587,$C$5:$AJ$646,19,)/VLOOKUP($D587,$C$5:$AJ$646,4,))*$F587))</f>
        <v>0</v>
      </c>
      <c r="V587" s="98">
        <f>IF(VLOOKUP($D587,$C$5:$AJ$646,20,)=0,0,((VLOOKUP($D587,$C$5:$AJ$646,20,)/VLOOKUP($D587,$C$5:$AJ$646,4,))*$F587))</f>
        <v>370627.03347378818</v>
      </c>
      <c r="W587" s="98">
        <f>IF(VLOOKUP($D587,$C$5:$AJ$646,21,)=0,0,((VLOOKUP($D587,$C$5:$AJ$646,21,)/VLOOKUP($D587,$C$5:$AJ$646,4,))*$F587))</f>
        <v>530478.7181525355</v>
      </c>
      <c r="X587" s="98">
        <f>IF(VLOOKUP($D587,$C$5:$AJ$646,22,)=0,0,((VLOOKUP($D587,$C$5:$AJ$646,22,)/VLOOKUP($D587,$C$5:$AJ$646,4,))*$F587))</f>
        <v>65404.770613021428</v>
      </c>
      <c r="Y587" s="98">
        <f>IF(VLOOKUP($D587,$C$5:$AJ$646,23,)=0,0,((VLOOKUP($D587,$C$5:$AJ$646,23,)/VLOOKUP($D587,$C$5:$AJ$646,4,))*$F587))</f>
        <v>93613.891438682738</v>
      </c>
      <c r="Z587" s="98">
        <f>IF(VLOOKUP($D587,$C$5:$AJ$646,24,)=0,0,((VLOOKUP($D587,$C$5:$AJ$646,24,)/VLOOKUP($D587,$C$5:$AJ$646,4,))*$F587))</f>
        <v>230207.69276467938</v>
      </c>
      <c r="AA587" s="98">
        <f>IF(VLOOKUP($D587,$C$5:$AJ$646,25,)=0,0,((VLOOKUP($D587,$C$5:$AJ$646,25,)/VLOOKUP($D587,$C$5:$AJ$646,4,))*$F587))</f>
        <v>196973.03235070265</v>
      </c>
      <c r="AB587" s="98">
        <f>IF(VLOOKUP($D587,$C$5:$AJ$646,26,)=0,0,((VLOOKUP($D587,$C$5:$AJ$646,26,)/VLOOKUP($D587,$C$5:$AJ$646,4,))*$F587))</f>
        <v>132043.78229192708</v>
      </c>
      <c r="AC587" s="98">
        <f>IF(VLOOKUP($D587,$C$5:$AJ$646,27,)=0,0,((VLOOKUP($D587,$C$5:$AJ$646,27,)/VLOOKUP($D587,$C$5:$AJ$646,4,))*$F587))</f>
        <v>104640.7376074287</v>
      </c>
      <c r="AD587" s="98">
        <f>IF(VLOOKUP($D587,$C$5:$AJ$646,28,)=0,0,((VLOOKUP($D587,$C$5:$AJ$646,28,)/VLOOKUP($D587,$C$5:$AJ$646,4,))*$F587))</f>
        <v>153688.49049942454</v>
      </c>
      <c r="AE587" s="98"/>
      <c r="AF587" s="98">
        <f>IF(VLOOKUP($D587,$C$5:$AJ$646,30,)=0,0,((VLOOKUP($D587,$C$5:$AJ$646,30,)/VLOOKUP($D587,$C$5:$AJ$646,4,))*$F587))</f>
        <v>0</v>
      </c>
      <c r="AG587" s="98"/>
      <c r="AH587" s="98">
        <f>IF(VLOOKUP($D587,$C$5:$AJ$646,32,)=0,0,((VLOOKUP($D587,$C$5:$AJ$646,32,)/VLOOKUP($D587,$C$5:$AJ$646,4,))*$F587))</f>
        <v>0</v>
      </c>
      <c r="AI587" s="98"/>
      <c r="AJ587" s="98">
        <f>IF(VLOOKUP($D587,$C$5:$AJ$646,34,)=0,0,((VLOOKUP($D587,$C$5:$AJ$646,34,)/VLOOKUP($D587,$C$5:$AJ$646,4,))*$F587))</f>
        <v>0</v>
      </c>
      <c r="AK587" s="98">
        <f>SUM(H587:AJ587)</f>
        <v>8845972.708113499</v>
      </c>
      <c r="AL587" s="95" t="str">
        <f>IF(ABS(AK587-F587)&lt;1,"ok","err")</f>
        <v>ok</v>
      </c>
    </row>
    <row r="588" spans="1:38" x14ac:dyDescent="0.25">
      <c r="Y588" s="94"/>
    </row>
    <row r="589" spans="1:38" x14ac:dyDescent="0.25">
      <c r="A589" s="94" t="s">
        <v>881</v>
      </c>
      <c r="C589" s="94" t="s">
        <v>1175</v>
      </c>
      <c r="D589" s="94" t="s">
        <v>1324</v>
      </c>
      <c r="F589" s="97">
        <f>'Jurisdictional Study'!F1215</f>
        <v>-767.27434829426568</v>
      </c>
      <c r="G589" s="97">
        <v>600157</v>
      </c>
      <c r="H589" s="98">
        <f>IF(VLOOKUP($D589,$C$5:$AJ$646,6,)=0,0,((VLOOKUP($D589,$C$5:$AJ$646,6,)/VLOOKUP($D589,$C$5:$AJ$646,4,))*$F589))</f>
        <v>0</v>
      </c>
      <c r="I589" s="98">
        <f>IF(VLOOKUP($D589,$C$5:$AJ$646,7,)=0,0,((VLOOKUP($D589,$C$5:$AJ$646,7,)/VLOOKUP($D589,$C$5:$AJ$646,4,))*$F589))</f>
        <v>0</v>
      </c>
      <c r="J589" s="98">
        <f>IF(VLOOKUP($D589,$C$5:$AJ$646,8,)=0,0,((VLOOKUP($D589,$C$5:$AJ$646,8,)/VLOOKUP($D589,$C$5:$AJ$646,4,))*$F589))</f>
        <v>0</v>
      </c>
      <c r="K589" s="98">
        <f>IF(VLOOKUP($D589,$C$5:$AJ$646,9,)=0,0,((VLOOKUP($D589,$C$5:$AJ$646,9,)/VLOOKUP($D589,$C$5:$AJ$646,4,))*$F589))</f>
        <v>-767.27434829426568</v>
      </c>
      <c r="L589" s="98">
        <f>IF(VLOOKUP($D589,$C$5:$AJ$646,10,)=0,0,((VLOOKUP($D589,$C$5:$AJ$646,10,)/VLOOKUP($D589,$C$5:$AJ$646,4,))*$F589))</f>
        <v>0</v>
      </c>
      <c r="M589" s="98">
        <f>IF(VLOOKUP($D589,$C$5:$AJ$646,11,)=0,0,((VLOOKUP($D589,$C$5:$AJ$646,11,)/VLOOKUP($D589,$C$5:$AJ$646,4,))*$F589))</f>
        <v>0</v>
      </c>
      <c r="N589" s="98"/>
      <c r="O589" s="98">
        <f>IF(VLOOKUP($D589,$C$5:$AJ$646,13,)=0,0,((VLOOKUP($D589,$C$5:$AJ$646,13,)/VLOOKUP($D589,$C$5:$AJ$646,4,))*$F589))</f>
        <v>0</v>
      </c>
      <c r="P589" s="98">
        <f>IF(VLOOKUP($D589,$C$5:$AJ$646,14,)=0,0,((VLOOKUP($D589,$C$5:$AJ$646,14,)/VLOOKUP($D589,$C$5:$AJ$646,4,))*$F589))</f>
        <v>0</v>
      </c>
      <c r="Q589" s="98">
        <f>IF(VLOOKUP($D589,$C$5:$AJ$646,15,)=0,0,((VLOOKUP($D589,$C$5:$AJ$646,15,)/VLOOKUP($D589,$C$5:$AJ$646,4,))*$F589))</f>
        <v>0</v>
      </c>
      <c r="R589" s="98"/>
      <c r="S589" s="98">
        <f>IF(VLOOKUP($D589,$C$5:$AJ$646,17,)=0,0,((VLOOKUP($D589,$C$5:$AJ$646,17,)/VLOOKUP($D589,$C$5:$AJ$646,4,))*$F589))</f>
        <v>0</v>
      </c>
      <c r="T589" s="98">
        <f>IF(VLOOKUP($D589,$C$5:$AJ$646,18,)=0,0,((VLOOKUP($D589,$C$5:$AJ$646,18,)/VLOOKUP($D589,$C$5:$AJ$646,4,))*$F589))</f>
        <v>0</v>
      </c>
      <c r="U589" s="98">
        <f>IF(VLOOKUP($D589,$C$5:$AJ$646,19,)=0,0,((VLOOKUP($D589,$C$5:$AJ$646,19,)/VLOOKUP($D589,$C$5:$AJ$646,4,))*$F589))</f>
        <v>0</v>
      </c>
      <c r="V589" s="98">
        <f>IF(VLOOKUP($D589,$C$5:$AJ$646,20,)=0,0,((VLOOKUP($D589,$C$5:$AJ$646,20,)/VLOOKUP($D589,$C$5:$AJ$646,4,))*$F589))</f>
        <v>0</v>
      </c>
      <c r="W589" s="98">
        <f>IF(VLOOKUP($D589,$C$5:$AJ$646,21,)=0,0,((VLOOKUP($D589,$C$5:$AJ$646,21,)/VLOOKUP($D589,$C$5:$AJ$646,4,))*$F589))</f>
        <v>0</v>
      </c>
      <c r="X589" s="98">
        <f>IF(VLOOKUP($D589,$C$5:$AJ$646,22,)=0,0,((VLOOKUP($D589,$C$5:$AJ$646,22,)/VLOOKUP($D589,$C$5:$AJ$646,4,))*$F589))</f>
        <v>0</v>
      </c>
      <c r="Y589" s="98">
        <f>IF(VLOOKUP($D589,$C$5:$AJ$646,23,)=0,0,((VLOOKUP($D589,$C$5:$AJ$646,23,)/VLOOKUP($D589,$C$5:$AJ$646,4,))*$F589))</f>
        <v>0</v>
      </c>
      <c r="Z589" s="98">
        <f>IF(VLOOKUP($D589,$C$5:$AJ$646,24,)=0,0,((VLOOKUP($D589,$C$5:$AJ$646,24,)/VLOOKUP($D589,$C$5:$AJ$646,4,))*$F589))</f>
        <v>0</v>
      </c>
      <c r="AA589" s="98">
        <f>IF(VLOOKUP($D589,$C$5:$AJ$646,25,)=0,0,((VLOOKUP($D589,$C$5:$AJ$646,25,)/VLOOKUP($D589,$C$5:$AJ$646,4,))*$F589))</f>
        <v>0</v>
      </c>
      <c r="AB589" s="98">
        <f>IF(VLOOKUP($D589,$C$5:$AJ$646,26,)=0,0,((VLOOKUP($D589,$C$5:$AJ$646,26,)/VLOOKUP($D589,$C$5:$AJ$646,4,))*$F589))</f>
        <v>0</v>
      </c>
      <c r="AC589" s="98">
        <f>IF(VLOOKUP($D589,$C$5:$AJ$646,27,)=0,0,((VLOOKUP($D589,$C$5:$AJ$646,27,)/VLOOKUP($D589,$C$5:$AJ$646,4,))*$F589))</f>
        <v>0</v>
      </c>
      <c r="AD589" s="98">
        <f>IF(VLOOKUP($D589,$C$5:$AJ$646,28,)=0,0,((VLOOKUP($D589,$C$5:$AJ$646,28,)/VLOOKUP($D589,$C$5:$AJ$646,4,))*$F589))</f>
        <v>0</v>
      </c>
      <c r="AE589" s="98"/>
      <c r="AF589" s="98">
        <f>IF(VLOOKUP($D589,$C$5:$AJ$646,30,)=0,0,((VLOOKUP($D589,$C$5:$AJ$646,30,)/VLOOKUP($D589,$C$5:$AJ$646,4,))*$F589))</f>
        <v>0</v>
      </c>
      <c r="AG589" s="98"/>
      <c r="AH589" s="98">
        <f>IF(VLOOKUP($D589,$C$5:$AJ$646,32,)=0,0,((VLOOKUP($D589,$C$5:$AJ$646,32,)/VLOOKUP($D589,$C$5:$AJ$646,4,))*$F589))</f>
        <v>0</v>
      </c>
      <c r="AI589" s="98"/>
      <c r="AJ589" s="98">
        <f>IF(VLOOKUP($D589,$C$5:$AJ$646,34,)=0,0,((VLOOKUP($D589,$C$5:$AJ$646,34,)/VLOOKUP($D589,$C$5:$AJ$646,4,))*$F589))</f>
        <v>0</v>
      </c>
      <c r="AK589" s="98">
        <f>SUM(H589:AJ589)</f>
        <v>-767.27434829426568</v>
      </c>
      <c r="AL589" s="95" t="str">
        <f>IF(ABS(AK589-F589)&lt;1,"ok","err")</f>
        <v>ok</v>
      </c>
    </row>
    <row r="590" spans="1:38" x14ac:dyDescent="0.25">
      <c r="Y590" s="94"/>
    </row>
    <row r="591" spans="1:38" x14ac:dyDescent="0.25">
      <c r="A591" s="94" t="s">
        <v>1432</v>
      </c>
      <c r="C591" s="94" t="s">
        <v>488</v>
      </c>
      <c r="D591" s="94" t="s">
        <v>213</v>
      </c>
      <c r="F591" s="97">
        <f>'Jurisdictional Study'!F1262+'Jurisdictional Study'!F1263</f>
        <v>59882590.212777473</v>
      </c>
      <c r="H591" s="98">
        <f>IF(VLOOKUP($D591,$C$5:$AJ$646,6,)=0,0,((VLOOKUP($D591,$C$5:$AJ$646,6,)/VLOOKUP($D591,$C$5:$AJ$646,4,))*$F591))</f>
        <v>13631895.126539925</v>
      </c>
      <c r="I591" s="98">
        <f>IF(VLOOKUP($D591,$C$5:$AJ$646,7,)=0,0,((VLOOKUP($D591,$C$5:$AJ$646,7,)/VLOOKUP($D591,$C$5:$AJ$646,4,))*$F591))</f>
        <v>12850484.207619848</v>
      </c>
      <c r="J591" s="98">
        <f>IF(VLOOKUP($D591,$C$5:$AJ$646,8,)=0,0,((VLOOKUP($D591,$C$5:$AJ$646,8,)/VLOOKUP($D591,$C$5:$AJ$646,4,))*$F591))</f>
        <v>13197535.993243814</v>
      </c>
      <c r="K591" s="98">
        <f>IF(VLOOKUP($D591,$C$5:$AJ$646,9,)=0,0,((VLOOKUP($D591,$C$5:$AJ$646,9,)/VLOOKUP($D591,$C$5:$AJ$646,4,))*$F591))</f>
        <v>0</v>
      </c>
      <c r="L591" s="98">
        <f>IF(VLOOKUP($D591,$C$5:$AJ$646,10,)=0,0,((VLOOKUP($D591,$C$5:$AJ$646,10,)/VLOOKUP($D591,$C$5:$AJ$646,4,))*$F591))</f>
        <v>0</v>
      </c>
      <c r="M591" s="98">
        <f>IF(VLOOKUP($D591,$C$5:$AJ$646,11,)=0,0,((VLOOKUP($D591,$C$5:$AJ$646,11,)/VLOOKUP($D591,$C$5:$AJ$646,4,))*$F591))</f>
        <v>0</v>
      </c>
      <c r="N591" s="98"/>
      <c r="O591" s="98">
        <f>IF(VLOOKUP($D591,$C$5:$AJ$646,13,)=0,0,((VLOOKUP($D591,$C$5:$AJ$646,13,)/VLOOKUP($D591,$C$5:$AJ$646,4,))*$F591))</f>
        <v>2041592.5295890532</v>
      </c>
      <c r="P591" s="98">
        <f>IF(VLOOKUP($D591,$C$5:$AJ$646,14,)=0,0,((VLOOKUP($D591,$C$5:$AJ$646,14,)/VLOOKUP($D591,$C$5:$AJ$646,4,))*$F591))</f>
        <v>1924563.8494387332</v>
      </c>
      <c r="Q591" s="98">
        <f>IF(VLOOKUP($D591,$C$5:$AJ$646,15,)=0,0,((VLOOKUP($D591,$C$5:$AJ$646,15,)/VLOOKUP($D591,$C$5:$AJ$646,4,))*$F591))</f>
        <v>1976540.3594054934</v>
      </c>
      <c r="R591" s="98"/>
      <c r="S591" s="98">
        <f>IF(VLOOKUP($D591,$C$5:$AJ$646,17,)=0,0,((VLOOKUP($D591,$C$5:$AJ$646,17,)/VLOOKUP($D591,$C$5:$AJ$646,4,))*$F591))</f>
        <v>0</v>
      </c>
      <c r="T591" s="98">
        <f>IF(VLOOKUP($D591,$C$5:$AJ$646,18,)=0,0,((VLOOKUP($D591,$C$5:$AJ$646,18,)/VLOOKUP($D591,$C$5:$AJ$646,4,))*$F591))</f>
        <v>1549083.0458928074</v>
      </c>
      <c r="U591" s="98">
        <f>IF(VLOOKUP($D591,$C$5:$AJ$646,19,)=0,0,((VLOOKUP($D591,$C$5:$AJ$646,19,)/VLOOKUP($D591,$C$5:$AJ$646,4,))*$F591))</f>
        <v>0</v>
      </c>
      <c r="V591" s="98">
        <f>IF(VLOOKUP($D591,$C$5:$AJ$646,20,)=0,0,((VLOOKUP($D591,$C$5:$AJ$646,20,)/VLOOKUP($D591,$C$5:$AJ$646,4,))*$F591))</f>
        <v>2508950.4003253183</v>
      </c>
      <c r="W591" s="98">
        <f>IF(VLOOKUP($D591,$C$5:$AJ$646,21,)=0,0,((VLOOKUP($D591,$C$5:$AJ$646,21,)/VLOOKUP($D591,$C$5:$AJ$646,4,))*$F591))</f>
        <v>3591062.3674648758</v>
      </c>
      <c r="X591" s="98">
        <f>IF(VLOOKUP($D591,$C$5:$AJ$646,22,)=0,0,((VLOOKUP($D591,$C$5:$AJ$646,22,)/VLOOKUP($D591,$C$5:$AJ$646,4,))*$F591))</f>
        <v>442755.95299858548</v>
      </c>
      <c r="Y591" s="98">
        <f>IF(VLOOKUP($D591,$C$5:$AJ$646,23,)=0,0,((VLOOKUP($D591,$C$5:$AJ$646,23,)/VLOOKUP($D591,$C$5:$AJ$646,4,))*$F591))</f>
        <v>633716.88837615459</v>
      </c>
      <c r="Z591" s="98">
        <f>IF(VLOOKUP($D591,$C$5:$AJ$646,24,)=0,0,((VLOOKUP($D591,$C$5:$AJ$646,24,)/VLOOKUP($D591,$C$5:$AJ$646,4,))*$F591))</f>
        <v>1558385.1979344576</v>
      </c>
      <c r="AA591" s="98">
        <f>IF(VLOOKUP($D591,$C$5:$AJ$646,25,)=0,0,((VLOOKUP($D591,$C$5:$AJ$646,25,)/VLOOKUP($D591,$C$5:$AJ$646,4,))*$F591))</f>
        <v>1333403.9984553319</v>
      </c>
      <c r="AB591" s="98">
        <f>IF(VLOOKUP($D591,$C$5:$AJ$646,26,)=0,0,((VLOOKUP($D591,$C$5:$AJ$646,26,)/VLOOKUP($D591,$C$5:$AJ$646,4,))*$F591))</f>
        <v>893867.06991310045</v>
      </c>
      <c r="AC591" s="98">
        <f>IF(VLOOKUP($D591,$C$5:$AJ$646,27,)=0,0,((VLOOKUP($D591,$C$5:$AJ$646,27,)/VLOOKUP($D591,$C$5:$AJ$646,4,))*$F591))</f>
        <v>708362.84674054221</v>
      </c>
      <c r="AD591" s="98">
        <f>IF(VLOOKUP($D591,$C$5:$AJ$646,28,)=0,0,((VLOOKUP($D591,$C$5:$AJ$646,28,)/VLOOKUP($D591,$C$5:$AJ$646,4,))*$F591))</f>
        <v>1040390.3788394206</v>
      </c>
      <c r="AE591" s="98"/>
      <c r="AF591" s="98">
        <f>IF(VLOOKUP($D591,$C$5:$AJ$646,30,)=0,0,((VLOOKUP($D591,$C$5:$AJ$646,30,)/VLOOKUP($D591,$C$5:$AJ$646,4,))*$F591))</f>
        <v>0</v>
      </c>
      <c r="AG591" s="98"/>
      <c r="AH591" s="98">
        <f>IF(VLOOKUP($D591,$C$5:$AJ$646,32,)=0,0,((VLOOKUP($D591,$C$5:$AJ$646,32,)/VLOOKUP($D591,$C$5:$AJ$646,4,))*$F591))</f>
        <v>0</v>
      </c>
      <c r="AI591" s="98"/>
      <c r="AJ591" s="98">
        <f>IF(VLOOKUP($D591,$C$5:$AJ$646,34,)=0,0,((VLOOKUP($D591,$C$5:$AJ$646,34,)/VLOOKUP($D591,$C$5:$AJ$646,4,))*$F591))</f>
        <v>0</v>
      </c>
      <c r="AK591" s="98">
        <f>SUM(H591:AJ591)</f>
        <v>59882590.212777466</v>
      </c>
      <c r="AL591" s="95" t="str">
        <f>IF(ABS(AK591-F591)&lt;1,"ok","err")</f>
        <v>ok</v>
      </c>
    </row>
    <row r="592" spans="1:38" x14ac:dyDescent="0.25">
      <c r="AL592" s="95"/>
    </row>
    <row r="593" spans="1:38" x14ac:dyDescent="0.25">
      <c r="A593" s="94" t="s">
        <v>1039</v>
      </c>
      <c r="C593" s="94" t="s">
        <v>487</v>
      </c>
      <c r="D593" s="94" t="s">
        <v>213</v>
      </c>
      <c r="F593" s="97">
        <v>0</v>
      </c>
      <c r="H593" s="98">
        <f>IF(VLOOKUP($D593,$C$5:$AJ$646,6,)=0,0,((VLOOKUP($D593,$C$5:$AJ$646,6,)/VLOOKUP($D593,$C$5:$AJ$646,4,))*$F593))</f>
        <v>0</v>
      </c>
      <c r="I593" s="98">
        <f>IF(VLOOKUP($D593,$C$5:$AJ$646,7,)=0,0,((VLOOKUP($D593,$C$5:$AJ$646,7,)/VLOOKUP($D593,$C$5:$AJ$646,4,))*$F593))</f>
        <v>0</v>
      </c>
      <c r="J593" s="98">
        <f>IF(VLOOKUP($D593,$C$5:$AJ$646,8,)=0,0,((VLOOKUP($D593,$C$5:$AJ$646,8,)/VLOOKUP($D593,$C$5:$AJ$646,4,))*$F593))</f>
        <v>0</v>
      </c>
      <c r="K593" s="98">
        <f>IF(VLOOKUP($D593,$C$5:$AJ$646,9,)=0,0,((VLOOKUP($D593,$C$5:$AJ$646,9,)/VLOOKUP($D593,$C$5:$AJ$646,4,))*$F593))</f>
        <v>0</v>
      </c>
      <c r="L593" s="98">
        <f>IF(VLOOKUP($D593,$C$5:$AJ$646,10,)=0,0,((VLOOKUP($D593,$C$5:$AJ$646,10,)/VLOOKUP($D593,$C$5:$AJ$646,4,))*$F593))</f>
        <v>0</v>
      </c>
      <c r="M593" s="98">
        <f>IF(VLOOKUP($D593,$C$5:$AJ$646,11,)=0,0,((VLOOKUP($D593,$C$5:$AJ$646,11,)/VLOOKUP($D593,$C$5:$AJ$646,4,))*$F593))</f>
        <v>0</v>
      </c>
      <c r="N593" s="98"/>
      <c r="O593" s="98">
        <f>IF(VLOOKUP($D593,$C$5:$AJ$646,13,)=0,0,((VLOOKUP($D593,$C$5:$AJ$646,13,)/VLOOKUP($D593,$C$5:$AJ$646,4,))*$F593))</f>
        <v>0</v>
      </c>
      <c r="P593" s="98">
        <f>IF(VLOOKUP($D593,$C$5:$AJ$646,14,)=0,0,((VLOOKUP($D593,$C$5:$AJ$646,14,)/VLOOKUP($D593,$C$5:$AJ$646,4,))*$F593))</f>
        <v>0</v>
      </c>
      <c r="Q593" s="98">
        <f>IF(VLOOKUP($D593,$C$5:$AJ$646,15,)=0,0,((VLOOKUP($D593,$C$5:$AJ$646,15,)/VLOOKUP($D593,$C$5:$AJ$646,4,))*$F593))</f>
        <v>0</v>
      </c>
      <c r="R593" s="98"/>
      <c r="S593" s="98">
        <f>IF(VLOOKUP($D593,$C$5:$AJ$646,17,)=0,0,((VLOOKUP($D593,$C$5:$AJ$646,17,)/VLOOKUP($D593,$C$5:$AJ$646,4,))*$F593))</f>
        <v>0</v>
      </c>
      <c r="T593" s="98">
        <f>IF(VLOOKUP($D593,$C$5:$AJ$646,18,)=0,0,((VLOOKUP($D593,$C$5:$AJ$646,18,)/VLOOKUP($D593,$C$5:$AJ$646,4,))*$F593))</f>
        <v>0</v>
      </c>
      <c r="U593" s="98">
        <f>IF(VLOOKUP($D593,$C$5:$AJ$646,19,)=0,0,((VLOOKUP($D593,$C$5:$AJ$646,19,)/VLOOKUP($D593,$C$5:$AJ$646,4,))*$F593))</f>
        <v>0</v>
      </c>
      <c r="V593" s="98">
        <f>IF(VLOOKUP($D593,$C$5:$AJ$646,20,)=0,0,((VLOOKUP($D593,$C$5:$AJ$646,20,)/VLOOKUP($D593,$C$5:$AJ$646,4,))*$F593))</f>
        <v>0</v>
      </c>
      <c r="W593" s="98">
        <f>IF(VLOOKUP($D593,$C$5:$AJ$646,21,)=0,0,((VLOOKUP($D593,$C$5:$AJ$646,21,)/VLOOKUP($D593,$C$5:$AJ$646,4,))*$F593))</f>
        <v>0</v>
      </c>
      <c r="X593" s="98">
        <f>IF(VLOOKUP($D593,$C$5:$AJ$646,22,)=0,0,((VLOOKUP($D593,$C$5:$AJ$646,22,)/VLOOKUP($D593,$C$5:$AJ$646,4,))*$F593))</f>
        <v>0</v>
      </c>
      <c r="Y593" s="98">
        <f>IF(VLOOKUP($D593,$C$5:$AJ$646,23,)=0,0,((VLOOKUP($D593,$C$5:$AJ$646,23,)/VLOOKUP($D593,$C$5:$AJ$646,4,))*$F593))</f>
        <v>0</v>
      </c>
      <c r="Z593" s="98">
        <f>IF(VLOOKUP($D593,$C$5:$AJ$646,24,)=0,0,((VLOOKUP($D593,$C$5:$AJ$646,24,)/VLOOKUP($D593,$C$5:$AJ$646,4,))*$F593))</f>
        <v>0</v>
      </c>
      <c r="AA593" s="98">
        <f>IF(VLOOKUP($D593,$C$5:$AJ$646,25,)=0,0,((VLOOKUP($D593,$C$5:$AJ$646,25,)/VLOOKUP($D593,$C$5:$AJ$646,4,))*$F593))</f>
        <v>0</v>
      </c>
      <c r="AB593" s="98">
        <f>IF(VLOOKUP($D593,$C$5:$AJ$646,26,)=0,0,((VLOOKUP($D593,$C$5:$AJ$646,26,)/VLOOKUP($D593,$C$5:$AJ$646,4,))*$F593))</f>
        <v>0</v>
      </c>
      <c r="AC593" s="98">
        <f>IF(VLOOKUP($D593,$C$5:$AJ$646,27,)=0,0,((VLOOKUP($D593,$C$5:$AJ$646,27,)/VLOOKUP($D593,$C$5:$AJ$646,4,))*$F593))</f>
        <v>0</v>
      </c>
      <c r="AD593" s="98">
        <f>IF(VLOOKUP($D593,$C$5:$AJ$646,28,)=0,0,((VLOOKUP($D593,$C$5:$AJ$646,28,)/VLOOKUP($D593,$C$5:$AJ$646,4,))*$F593))</f>
        <v>0</v>
      </c>
      <c r="AE593" s="98"/>
      <c r="AF593" s="98">
        <f>IF(VLOOKUP($D593,$C$5:$AJ$646,30,)=0,0,((VLOOKUP($D593,$C$5:$AJ$646,30,)/VLOOKUP($D593,$C$5:$AJ$646,4,))*$F593))</f>
        <v>0</v>
      </c>
      <c r="AG593" s="98"/>
      <c r="AH593" s="98">
        <f>IF(VLOOKUP($D593,$C$5:$AJ$646,32,)=0,0,((VLOOKUP($D593,$C$5:$AJ$646,32,)/VLOOKUP($D593,$C$5:$AJ$646,4,))*$F593))</f>
        <v>0</v>
      </c>
      <c r="AI593" s="98"/>
      <c r="AJ593" s="98">
        <f>IF(VLOOKUP($D593,$C$5:$AJ$646,34,)=0,0,((VLOOKUP($D593,$C$5:$AJ$646,34,)/VLOOKUP($D593,$C$5:$AJ$646,4,))*$F593))</f>
        <v>0</v>
      </c>
      <c r="AK593" s="98">
        <f>SUM(H593:AJ593)</f>
        <v>0</v>
      </c>
      <c r="AL593" s="95" t="str">
        <f>IF(ABS(AK593-F593)&lt;1,"ok","err")</f>
        <v>ok</v>
      </c>
    </row>
    <row r="594" spans="1:38" x14ac:dyDescent="0.25">
      <c r="AK594" s="98"/>
      <c r="AL594" s="95"/>
    </row>
    <row r="595" spans="1:38" x14ac:dyDescent="0.25">
      <c r="A595" s="16" t="s">
        <v>489</v>
      </c>
      <c r="C595" s="94" t="s">
        <v>490</v>
      </c>
      <c r="F595" s="99">
        <f>F576+F583+F585+F587+F589+F591+F593</f>
        <v>250763269.47884634</v>
      </c>
      <c r="G595" s="99"/>
      <c r="H595" s="99">
        <f t="shared" ref="H595:AJ595" si="579">H576+H583+H585+H587+H589+H591+H593</f>
        <v>60331970.328076817</v>
      </c>
      <c r="I595" s="99">
        <f t="shared" si="579"/>
        <v>56873605.96004875</v>
      </c>
      <c r="J595" s="99">
        <f t="shared" si="579"/>
        <v>58409585.942157492</v>
      </c>
      <c r="K595" s="99">
        <f t="shared" si="579"/>
        <v>-767.27434829426568</v>
      </c>
      <c r="L595" s="99">
        <f t="shared" si="579"/>
        <v>0</v>
      </c>
      <c r="M595" s="99">
        <f t="shared" si="579"/>
        <v>0</v>
      </c>
      <c r="N595" s="99"/>
      <c r="O595" s="99">
        <f t="shared" si="579"/>
        <v>6524093.7859186763</v>
      </c>
      <c r="P595" s="99">
        <f t="shared" si="579"/>
        <v>6150118.0420435509</v>
      </c>
      <c r="Q595" s="99">
        <f t="shared" si="579"/>
        <v>6316213.6858967021</v>
      </c>
      <c r="R595" s="99"/>
      <c r="S595" s="99">
        <f t="shared" si="579"/>
        <v>0</v>
      </c>
      <c r="T595" s="99">
        <f t="shared" si="579"/>
        <v>6100577.4586143587</v>
      </c>
      <c r="U595" s="99">
        <f t="shared" si="579"/>
        <v>0</v>
      </c>
      <c r="V595" s="99">
        <f t="shared" si="579"/>
        <v>9880713.8181442879</v>
      </c>
      <c r="W595" s="99">
        <f t="shared" si="579"/>
        <v>14142272.223248178</v>
      </c>
      <c r="X595" s="99">
        <f t="shared" si="579"/>
        <v>1743655.3796725215</v>
      </c>
      <c r="Y595" s="99">
        <f t="shared" si="579"/>
        <v>2495695.0982202669</v>
      </c>
      <c r="Z595" s="99">
        <f t="shared" si="579"/>
        <v>6137211.0653227624</v>
      </c>
      <c r="AA595" s="99">
        <f t="shared" si="579"/>
        <v>5251193.2125075627</v>
      </c>
      <c r="AB595" s="99">
        <f t="shared" si="579"/>
        <v>3520214.9504945693</v>
      </c>
      <c r="AC595" s="99">
        <f t="shared" si="579"/>
        <v>2789664.7805958115</v>
      </c>
      <c r="AD595" s="99">
        <f t="shared" si="579"/>
        <v>4097251.022232295</v>
      </c>
      <c r="AE595" s="99"/>
      <c r="AF595" s="99">
        <f t="shared" si="579"/>
        <v>0</v>
      </c>
      <c r="AG595" s="99"/>
      <c r="AH595" s="99">
        <f t="shared" si="579"/>
        <v>0</v>
      </c>
      <c r="AI595" s="99"/>
      <c r="AJ595" s="99">
        <f t="shared" si="579"/>
        <v>0</v>
      </c>
      <c r="AK595" s="98">
        <f>SUM(H595:AJ595)</f>
        <v>250763269.47884631</v>
      </c>
      <c r="AL595" s="95" t="str">
        <f>IF(ABS(AK595-F595)&lt;1,"ok","err")</f>
        <v>ok</v>
      </c>
    </row>
    <row r="596" spans="1:38" x14ac:dyDescent="0.25">
      <c r="AL596" s="95"/>
    </row>
    <row r="597" spans="1:38" x14ac:dyDescent="0.25">
      <c r="A597" s="16" t="s">
        <v>583</v>
      </c>
      <c r="F597" s="99">
        <f t="shared" ref="F597:M597" si="580">F328+F595</f>
        <v>1109551252.2853994</v>
      </c>
      <c r="G597" s="99">
        <f t="shared" si="580"/>
        <v>0</v>
      </c>
      <c r="H597" s="99">
        <f t="shared" si="580"/>
        <v>91470374.375393793</v>
      </c>
      <c r="I597" s="99">
        <f t="shared" si="580"/>
        <v>86227086.583699793</v>
      </c>
      <c r="J597" s="99">
        <f t="shared" si="580"/>
        <v>88555813.181432247</v>
      </c>
      <c r="K597" s="99">
        <f t="shared" si="580"/>
        <v>611930421.75850785</v>
      </c>
      <c r="L597" s="99">
        <f t="shared" si="580"/>
        <v>0</v>
      </c>
      <c r="M597" s="99">
        <f t="shared" si="580"/>
        <v>0</v>
      </c>
      <c r="N597" s="99"/>
      <c r="O597" s="99">
        <f>O328+O595</f>
        <v>16744267.354388211</v>
      </c>
      <c r="P597" s="99">
        <f>P328+P595</f>
        <v>15784448.252305895</v>
      </c>
      <c r="Q597" s="99">
        <f>Q328+Q595</f>
        <v>16210737.321460469</v>
      </c>
      <c r="R597" s="99"/>
      <c r="S597" s="99">
        <f t="shared" ref="S597:AJ597" si="581">S328+S595</f>
        <v>0</v>
      </c>
      <c r="T597" s="99">
        <f t="shared" si="581"/>
        <v>12139499.262947263</v>
      </c>
      <c r="U597" s="99">
        <f t="shared" si="581"/>
        <v>0</v>
      </c>
      <c r="V597" s="99">
        <f t="shared" si="581"/>
        <v>27858672.124373753</v>
      </c>
      <c r="W597" s="99">
        <f t="shared" si="581"/>
        <v>37145092.158469118</v>
      </c>
      <c r="X597" s="99">
        <f t="shared" si="581"/>
        <v>4916236.2572424272</v>
      </c>
      <c r="Y597" s="99">
        <f t="shared" si="581"/>
        <v>6555016.2632592563</v>
      </c>
      <c r="Z597" s="99">
        <f t="shared" si="581"/>
        <v>9254312.6179643068</v>
      </c>
      <c r="AA597" s="99">
        <f t="shared" si="581"/>
        <v>7918284.5576977944</v>
      </c>
      <c r="AB597" s="99">
        <f t="shared" si="581"/>
        <v>5249914.623198621</v>
      </c>
      <c r="AC597" s="99">
        <f t="shared" si="581"/>
        <v>12296021.766280763</v>
      </c>
      <c r="AD597" s="99">
        <f t="shared" si="581"/>
        <v>6062361.1433579978</v>
      </c>
      <c r="AE597" s="99">
        <f t="shared" si="581"/>
        <v>0</v>
      </c>
      <c r="AF597" s="99">
        <f t="shared" si="581"/>
        <v>37377841.874573663</v>
      </c>
      <c r="AG597" s="99">
        <f t="shared" si="581"/>
        <v>0</v>
      </c>
      <c r="AH597" s="99">
        <f t="shared" si="581"/>
        <v>15854850.808846243</v>
      </c>
      <c r="AI597" s="99">
        <f t="shared" si="581"/>
        <v>0</v>
      </c>
      <c r="AJ597" s="99">
        <f t="shared" si="581"/>
        <v>0</v>
      </c>
      <c r="AK597" s="98">
        <f>SUM(H597:AJ597)</f>
        <v>1109551252.2853994</v>
      </c>
      <c r="AL597" s="95" t="str">
        <f>IF(ABS(AK597-F597)&lt;1,"ok","err")</f>
        <v>ok</v>
      </c>
    </row>
    <row r="598" spans="1:38" x14ac:dyDescent="0.25">
      <c r="AL598" s="95"/>
    </row>
    <row r="599" spans="1:38" x14ac:dyDescent="0.25">
      <c r="AL599" s="95"/>
    </row>
    <row r="600" spans="1:38" x14ac:dyDescent="0.25">
      <c r="A600" s="16" t="s">
        <v>1228</v>
      </c>
      <c r="AL600" s="95"/>
    </row>
    <row r="601" spans="1:38" x14ac:dyDescent="0.25">
      <c r="A601" s="94" t="s">
        <v>1229</v>
      </c>
      <c r="F601" s="98">
        <v>0</v>
      </c>
      <c r="AL601" s="95"/>
    </row>
    <row r="602" spans="1:38" x14ac:dyDescent="0.25">
      <c r="A602" s="94" t="s">
        <v>649</v>
      </c>
      <c r="F602" s="98">
        <v>0</v>
      </c>
      <c r="AL602" s="95"/>
    </row>
    <row r="603" spans="1:38" x14ac:dyDescent="0.25">
      <c r="A603" s="94" t="s">
        <v>650</v>
      </c>
      <c r="F603" s="98">
        <v>0</v>
      </c>
      <c r="AL603" s="95"/>
    </row>
    <row r="604" spans="1:38" x14ac:dyDescent="0.25">
      <c r="A604" s="94" t="s">
        <v>651</v>
      </c>
      <c r="F604" s="98">
        <v>0</v>
      </c>
      <c r="AL604" s="95"/>
    </row>
    <row r="605" spans="1:38" x14ac:dyDescent="0.25">
      <c r="A605" s="94" t="s">
        <v>652</v>
      </c>
      <c r="F605" s="98">
        <v>0</v>
      </c>
      <c r="AL605" s="95"/>
    </row>
    <row r="606" spans="1:38" x14ac:dyDescent="0.25">
      <c r="A606" s="94" t="s">
        <v>653</v>
      </c>
      <c r="F606" s="98">
        <v>0</v>
      </c>
      <c r="AL606" s="95"/>
    </row>
    <row r="607" spans="1:38" x14ac:dyDescent="0.25">
      <c r="A607" s="94" t="s">
        <v>654</v>
      </c>
      <c r="F607" s="98">
        <v>0</v>
      </c>
      <c r="AL607" s="95"/>
    </row>
    <row r="608" spans="1:38" x14ac:dyDescent="0.25">
      <c r="F608" s="98"/>
      <c r="AL608" s="95"/>
    </row>
    <row r="609" spans="1:38" x14ac:dyDescent="0.25">
      <c r="A609" s="94" t="s">
        <v>655</v>
      </c>
      <c r="F609" s="98">
        <v>0</v>
      </c>
      <c r="AL609" s="95"/>
    </row>
    <row r="610" spans="1:38" x14ac:dyDescent="0.25">
      <c r="F610" s="98"/>
      <c r="AL610" s="95"/>
    </row>
    <row r="611" spans="1:38" x14ac:dyDescent="0.25">
      <c r="A611" s="15" t="s">
        <v>491</v>
      </c>
      <c r="AL611" s="95"/>
    </row>
    <row r="612" spans="1:38" x14ac:dyDescent="0.25">
      <c r="AL612" s="95"/>
    </row>
    <row r="613" spans="1:38" x14ac:dyDescent="0.25">
      <c r="A613" s="94" t="s">
        <v>117</v>
      </c>
      <c r="C613" s="94" t="s">
        <v>134</v>
      </c>
      <c r="F613" s="111">
        <v>1</v>
      </c>
      <c r="G613" s="111"/>
      <c r="H613" s="112">
        <v>0</v>
      </c>
      <c r="I613" s="112">
        <v>0</v>
      </c>
      <c r="J613" s="112">
        <v>0</v>
      </c>
      <c r="K613" s="112">
        <v>0</v>
      </c>
      <c r="L613" s="112">
        <v>0</v>
      </c>
      <c r="M613" s="112">
        <v>0</v>
      </c>
      <c r="N613" s="112"/>
      <c r="O613" s="112">
        <v>0</v>
      </c>
      <c r="P613" s="112">
        <v>0</v>
      </c>
      <c r="Q613" s="112">
        <v>0</v>
      </c>
      <c r="R613" s="111"/>
      <c r="S613" s="112">
        <v>0</v>
      </c>
      <c r="T613" s="112">
        <v>1</v>
      </c>
      <c r="U613" s="112">
        <v>0</v>
      </c>
      <c r="V613" s="112">
        <v>0</v>
      </c>
      <c r="W613" s="112">
        <v>0</v>
      </c>
      <c r="X613" s="112">
        <v>0</v>
      </c>
      <c r="Y613" s="112">
        <v>0</v>
      </c>
      <c r="Z613" s="111">
        <v>0</v>
      </c>
      <c r="AA613" s="111">
        <v>0</v>
      </c>
      <c r="AB613" s="111">
        <v>0</v>
      </c>
      <c r="AC613" s="111">
        <v>0</v>
      </c>
      <c r="AD613" s="111">
        <v>0</v>
      </c>
      <c r="AE613" s="111"/>
      <c r="AF613" s="111">
        <v>0</v>
      </c>
      <c r="AG613" s="111"/>
      <c r="AH613" s="111">
        <v>0</v>
      </c>
      <c r="AI613" s="111"/>
      <c r="AJ613" s="111">
        <v>0</v>
      </c>
      <c r="AK613" s="112">
        <f>SUM(H613:AJ613)</f>
        <v>1</v>
      </c>
      <c r="AL613" s="95" t="str">
        <f t="shared" ref="AL613:AL636" si="582">IF(ABS(AK613-F613)&lt;0.0000001,"ok","err")</f>
        <v>ok</v>
      </c>
    </row>
    <row r="614" spans="1:38" x14ac:dyDescent="0.25">
      <c r="A614" s="94" t="s">
        <v>492</v>
      </c>
      <c r="C614" s="94" t="s">
        <v>135</v>
      </c>
      <c r="F614" s="111">
        <v>1</v>
      </c>
      <c r="G614" s="111"/>
      <c r="H614" s="112">
        <v>0</v>
      </c>
      <c r="I614" s="112">
        <v>0</v>
      </c>
      <c r="J614" s="112">
        <v>0</v>
      </c>
      <c r="K614" s="112">
        <v>0</v>
      </c>
      <c r="L614" s="112">
        <v>0</v>
      </c>
      <c r="M614" s="112">
        <v>0</v>
      </c>
      <c r="N614" s="112"/>
      <c r="O614" s="112">
        <v>0</v>
      </c>
      <c r="P614" s="112">
        <v>0</v>
      </c>
      <c r="Q614" s="112">
        <v>0</v>
      </c>
      <c r="R614" s="111"/>
      <c r="S614" s="112">
        <v>0</v>
      </c>
      <c r="T614" s="112">
        <v>0</v>
      </c>
      <c r="U614" s="112">
        <v>0</v>
      </c>
      <c r="V614" s="169">
        <f>0.4543*0.85</f>
        <v>0.38615499999999997</v>
      </c>
      <c r="W614" s="169">
        <f>0.5457*0.85</f>
        <v>0.46384499999999995</v>
      </c>
      <c r="X614" s="169">
        <f>0.4543*0.15</f>
        <v>6.8144999999999997E-2</v>
      </c>
      <c r="Y614" s="169">
        <f>0.5457*0.15</f>
        <v>8.1854999999999997E-2</v>
      </c>
      <c r="Z614" s="111">
        <v>0</v>
      </c>
      <c r="AA614" s="111">
        <v>0</v>
      </c>
      <c r="AB614" s="111">
        <v>0</v>
      </c>
      <c r="AC614" s="111">
        <v>0</v>
      </c>
      <c r="AD614" s="111">
        <v>0</v>
      </c>
      <c r="AE614" s="111"/>
      <c r="AF614" s="111">
        <v>0</v>
      </c>
      <c r="AG614" s="111"/>
      <c r="AH614" s="111">
        <v>0</v>
      </c>
      <c r="AI614" s="111"/>
      <c r="AJ614" s="111">
        <v>0</v>
      </c>
      <c r="AK614" s="112">
        <f t="shared" ref="AK614:AK636" si="583">SUM(H614:AJ614)</f>
        <v>0.99999999999999989</v>
      </c>
      <c r="AL614" s="95" t="str">
        <f t="shared" si="582"/>
        <v>ok</v>
      </c>
    </row>
    <row r="615" spans="1:38" x14ac:dyDescent="0.25">
      <c r="A615" s="94" t="s">
        <v>493</v>
      </c>
      <c r="C615" s="94" t="s">
        <v>137</v>
      </c>
      <c r="F615" s="111">
        <v>1</v>
      </c>
      <c r="G615" s="111"/>
      <c r="H615" s="112">
        <v>0</v>
      </c>
      <c r="I615" s="112">
        <v>0</v>
      </c>
      <c r="J615" s="112">
        <v>0</v>
      </c>
      <c r="K615" s="112">
        <v>0</v>
      </c>
      <c r="L615" s="112">
        <v>0</v>
      </c>
      <c r="M615" s="112">
        <v>0</v>
      </c>
      <c r="N615" s="112"/>
      <c r="O615" s="112">
        <v>0</v>
      </c>
      <c r="P615" s="112">
        <v>0</v>
      </c>
      <c r="Q615" s="112">
        <v>0</v>
      </c>
      <c r="R615" s="111"/>
      <c r="S615" s="112">
        <v>0</v>
      </c>
      <c r="T615" s="112">
        <v>0</v>
      </c>
      <c r="U615" s="112">
        <v>0</v>
      </c>
      <c r="V615" s="169">
        <f>V614</f>
        <v>0.38615499999999997</v>
      </c>
      <c r="W615" s="169">
        <f>W614</f>
        <v>0.46384499999999995</v>
      </c>
      <c r="X615" s="169">
        <f>X614</f>
        <v>6.8144999999999997E-2</v>
      </c>
      <c r="Y615" s="169">
        <f>Y614</f>
        <v>8.1854999999999997E-2</v>
      </c>
      <c r="Z615" s="111">
        <v>0</v>
      </c>
      <c r="AA615" s="111">
        <v>0</v>
      </c>
      <c r="AB615" s="111">
        <v>0</v>
      </c>
      <c r="AC615" s="111">
        <v>0</v>
      </c>
      <c r="AD615" s="111">
        <v>0</v>
      </c>
      <c r="AE615" s="111"/>
      <c r="AF615" s="111">
        <v>0</v>
      </c>
      <c r="AG615" s="111"/>
      <c r="AH615" s="111">
        <v>0</v>
      </c>
      <c r="AI615" s="111"/>
      <c r="AJ615" s="111">
        <v>0</v>
      </c>
      <c r="AK615" s="112">
        <f t="shared" si="583"/>
        <v>0.99999999999999989</v>
      </c>
      <c r="AL615" s="95" t="str">
        <f t="shared" si="582"/>
        <v>ok</v>
      </c>
    </row>
    <row r="616" spans="1:38" x14ac:dyDescent="0.25">
      <c r="A616" s="94" t="s">
        <v>494</v>
      </c>
      <c r="C616" s="94" t="s">
        <v>138</v>
      </c>
      <c r="F616" s="111">
        <v>1</v>
      </c>
      <c r="G616" s="111"/>
      <c r="H616" s="112">
        <v>0</v>
      </c>
      <c r="I616" s="112">
        <v>0</v>
      </c>
      <c r="J616" s="112">
        <v>0</v>
      </c>
      <c r="K616" s="112">
        <v>0</v>
      </c>
      <c r="L616" s="112">
        <v>0</v>
      </c>
      <c r="M616" s="112">
        <v>0</v>
      </c>
      <c r="N616" s="112"/>
      <c r="O616" s="112">
        <v>0</v>
      </c>
      <c r="P616" s="112">
        <v>0</v>
      </c>
      <c r="Q616" s="112">
        <v>0</v>
      </c>
      <c r="R616" s="111"/>
      <c r="S616" s="112">
        <v>0</v>
      </c>
      <c r="T616" s="112">
        <v>0</v>
      </c>
      <c r="U616" s="112">
        <v>0</v>
      </c>
      <c r="V616" s="169">
        <f>0.2479*0.85</f>
        <v>0.21071500000000001</v>
      </c>
      <c r="W616" s="169">
        <f>0.7521*0.85</f>
        <v>0.63928499999999999</v>
      </c>
      <c r="X616" s="169">
        <f>0.2479*0.15</f>
        <v>3.7185000000000003E-2</v>
      </c>
      <c r="Y616" s="169">
        <f>0.7521*0.15</f>
        <v>0.112815</v>
      </c>
      <c r="Z616" s="111">
        <v>0</v>
      </c>
      <c r="AA616" s="111">
        <v>0</v>
      </c>
      <c r="AB616" s="111">
        <v>0</v>
      </c>
      <c r="AC616" s="111">
        <v>0</v>
      </c>
      <c r="AD616" s="111">
        <v>0</v>
      </c>
      <c r="AE616" s="111"/>
      <c r="AF616" s="111">
        <v>0</v>
      </c>
      <c r="AG616" s="111"/>
      <c r="AH616" s="111">
        <v>0</v>
      </c>
      <c r="AI616" s="111"/>
      <c r="AJ616" s="111">
        <v>0</v>
      </c>
      <c r="AK616" s="112">
        <f t="shared" si="583"/>
        <v>1</v>
      </c>
      <c r="AL616" s="95" t="str">
        <f t="shared" si="582"/>
        <v>ok</v>
      </c>
    </row>
    <row r="617" spans="1:38" x14ac:dyDescent="0.25">
      <c r="A617" s="94" t="s">
        <v>495</v>
      </c>
      <c r="C617" s="94" t="s">
        <v>141</v>
      </c>
      <c r="F617" s="111">
        <v>1</v>
      </c>
      <c r="G617" s="111"/>
      <c r="H617" s="112">
        <v>0</v>
      </c>
      <c r="I617" s="112">
        <v>0</v>
      </c>
      <c r="J617" s="112">
        <v>0</v>
      </c>
      <c r="K617" s="112">
        <v>0</v>
      </c>
      <c r="L617" s="112">
        <v>0</v>
      </c>
      <c r="M617" s="112">
        <v>0</v>
      </c>
      <c r="N617" s="112"/>
      <c r="O617" s="112">
        <v>0</v>
      </c>
      <c r="P617" s="112">
        <v>0</v>
      </c>
      <c r="Q617" s="112">
        <v>0</v>
      </c>
      <c r="R617" s="111"/>
      <c r="S617" s="112">
        <v>0</v>
      </c>
      <c r="T617" s="112">
        <v>0</v>
      </c>
      <c r="U617" s="112">
        <v>0</v>
      </c>
      <c r="V617" s="169">
        <v>0</v>
      </c>
      <c r="W617" s="169">
        <v>0</v>
      </c>
      <c r="X617" s="169">
        <v>0</v>
      </c>
      <c r="Y617" s="169">
        <v>0</v>
      </c>
      <c r="Z617" s="111">
        <v>0.53890000000000005</v>
      </c>
      <c r="AA617" s="111">
        <v>0.46110000000000001</v>
      </c>
      <c r="AB617" s="111">
        <v>0</v>
      </c>
      <c r="AC617" s="111">
        <v>0</v>
      </c>
      <c r="AD617" s="111">
        <v>0</v>
      </c>
      <c r="AE617" s="111"/>
      <c r="AF617" s="111">
        <v>0</v>
      </c>
      <c r="AG617" s="111"/>
      <c r="AH617" s="111">
        <v>0</v>
      </c>
      <c r="AI617" s="111"/>
      <c r="AJ617" s="111">
        <v>0</v>
      </c>
      <c r="AK617" s="112">
        <f t="shared" si="583"/>
        <v>1</v>
      </c>
      <c r="AL617" s="95" t="str">
        <f t="shared" si="582"/>
        <v>ok</v>
      </c>
    </row>
    <row r="618" spans="1:38" x14ac:dyDescent="0.25">
      <c r="A618" s="94" t="s">
        <v>496</v>
      </c>
      <c r="C618" s="94" t="s">
        <v>194</v>
      </c>
      <c r="F618" s="111">
        <v>1</v>
      </c>
      <c r="G618" s="111"/>
      <c r="H618" s="112">
        <v>0</v>
      </c>
      <c r="I618" s="112">
        <v>0</v>
      </c>
      <c r="J618" s="112">
        <v>0</v>
      </c>
      <c r="K618" s="112">
        <v>0</v>
      </c>
      <c r="L618" s="112">
        <v>0</v>
      </c>
      <c r="M618" s="112">
        <v>0</v>
      </c>
      <c r="N618" s="112"/>
      <c r="O618" s="112">
        <v>0</v>
      </c>
      <c r="P618" s="112">
        <v>0</v>
      </c>
      <c r="Q618" s="112">
        <v>0</v>
      </c>
      <c r="R618" s="111"/>
      <c r="S618" s="112">
        <v>0</v>
      </c>
      <c r="T618" s="112">
        <v>0</v>
      </c>
      <c r="U618" s="112">
        <v>0</v>
      </c>
      <c r="V618" s="112">
        <v>0</v>
      </c>
      <c r="W618" s="112">
        <v>0</v>
      </c>
      <c r="X618" s="112">
        <v>0</v>
      </c>
      <c r="Y618" s="112">
        <v>0</v>
      </c>
      <c r="Z618" s="111">
        <v>0</v>
      </c>
      <c r="AA618" s="111">
        <v>0</v>
      </c>
      <c r="AB618" s="111">
        <v>1</v>
      </c>
      <c r="AC618" s="111">
        <v>0</v>
      </c>
      <c r="AD618" s="111">
        <v>0</v>
      </c>
      <c r="AE618" s="111"/>
      <c r="AF618" s="111">
        <v>0</v>
      </c>
      <c r="AG618" s="111"/>
      <c r="AH618" s="111">
        <v>0</v>
      </c>
      <c r="AI618" s="111"/>
      <c r="AJ618" s="111">
        <v>0</v>
      </c>
      <c r="AK618" s="112">
        <f t="shared" si="583"/>
        <v>1</v>
      </c>
      <c r="AL618" s="95" t="str">
        <f t="shared" si="582"/>
        <v>ok</v>
      </c>
    </row>
    <row r="619" spans="1:38" x14ac:dyDescent="0.25">
      <c r="A619" s="94" t="s">
        <v>118</v>
      </c>
      <c r="C619" s="94" t="s">
        <v>196</v>
      </c>
      <c r="F619" s="111">
        <v>1</v>
      </c>
      <c r="G619" s="111"/>
      <c r="H619" s="112">
        <v>0</v>
      </c>
      <c r="I619" s="112">
        <v>0</v>
      </c>
      <c r="J619" s="112">
        <v>0</v>
      </c>
      <c r="K619" s="112">
        <v>0</v>
      </c>
      <c r="L619" s="112">
        <v>0</v>
      </c>
      <c r="M619" s="112">
        <v>0</v>
      </c>
      <c r="N619" s="112"/>
      <c r="O619" s="112">
        <v>0</v>
      </c>
      <c r="P619" s="112">
        <v>0</v>
      </c>
      <c r="Q619" s="112">
        <v>0</v>
      </c>
      <c r="R619" s="111"/>
      <c r="S619" s="112">
        <v>0</v>
      </c>
      <c r="T619" s="112">
        <v>0</v>
      </c>
      <c r="U619" s="112">
        <v>0</v>
      </c>
      <c r="V619" s="112">
        <v>0</v>
      </c>
      <c r="W619" s="112">
        <v>0</v>
      </c>
      <c r="X619" s="112">
        <v>0</v>
      </c>
      <c r="Y619" s="112">
        <v>0</v>
      </c>
      <c r="Z619" s="111">
        <v>0</v>
      </c>
      <c r="AA619" s="111">
        <v>0</v>
      </c>
      <c r="AB619" s="111">
        <v>0</v>
      </c>
      <c r="AC619" s="111">
        <v>1</v>
      </c>
      <c r="AD619" s="111">
        <v>0</v>
      </c>
      <c r="AE619" s="111"/>
      <c r="AF619" s="111">
        <v>0</v>
      </c>
      <c r="AG619" s="111"/>
      <c r="AH619" s="111">
        <v>0</v>
      </c>
      <c r="AI619" s="111"/>
      <c r="AJ619" s="111">
        <v>0</v>
      </c>
      <c r="AK619" s="112">
        <f t="shared" si="583"/>
        <v>1</v>
      </c>
      <c r="AL619" s="95" t="str">
        <f t="shared" si="582"/>
        <v>ok</v>
      </c>
    </row>
    <row r="620" spans="1:38" x14ac:dyDescent="0.25">
      <c r="A620" s="94" t="s">
        <v>497</v>
      </c>
      <c r="C620" s="94" t="s">
        <v>199</v>
      </c>
      <c r="F620" s="111">
        <v>1</v>
      </c>
      <c r="G620" s="111"/>
      <c r="H620" s="112">
        <v>0</v>
      </c>
      <c r="I620" s="112">
        <v>0</v>
      </c>
      <c r="J620" s="112">
        <v>0</v>
      </c>
      <c r="K620" s="112">
        <v>0</v>
      </c>
      <c r="L620" s="112">
        <v>0</v>
      </c>
      <c r="M620" s="112">
        <v>0</v>
      </c>
      <c r="N620" s="112"/>
      <c r="O620" s="112">
        <v>0</v>
      </c>
      <c r="P620" s="112">
        <v>0</v>
      </c>
      <c r="Q620" s="112">
        <v>0</v>
      </c>
      <c r="R620" s="111"/>
      <c r="S620" s="112">
        <v>0</v>
      </c>
      <c r="T620" s="112">
        <v>0</v>
      </c>
      <c r="U620" s="112">
        <v>0</v>
      </c>
      <c r="V620" s="112">
        <v>0</v>
      </c>
      <c r="W620" s="112">
        <v>0</v>
      </c>
      <c r="X620" s="112">
        <v>0</v>
      </c>
      <c r="Y620" s="112">
        <v>0</v>
      </c>
      <c r="Z620" s="111">
        <v>0</v>
      </c>
      <c r="AA620" s="111">
        <v>0</v>
      </c>
      <c r="AB620" s="111">
        <v>0</v>
      </c>
      <c r="AC620" s="111">
        <v>0</v>
      </c>
      <c r="AD620" s="111">
        <v>1</v>
      </c>
      <c r="AE620" s="111"/>
      <c r="AF620" s="111">
        <v>0</v>
      </c>
      <c r="AG620" s="111"/>
      <c r="AH620" s="111">
        <v>0</v>
      </c>
      <c r="AI620" s="111"/>
      <c r="AJ620" s="111">
        <v>0</v>
      </c>
      <c r="AK620" s="112">
        <f t="shared" si="583"/>
        <v>1</v>
      </c>
      <c r="AL620" s="95" t="str">
        <f t="shared" si="582"/>
        <v>ok</v>
      </c>
    </row>
    <row r="621" spans="1:38" x14ac:dyDescent="0.25">
      <c r="A621" s="94" t="s">
        <v>498</v>
      </c>
      <c r="C621" s="94" t="s">
        <v>384</v>
      </c>
      <c r="F621" s="111">
        <v>1</v>
      </c>
      <c r="G621" s="111"/>
      <c r="H621" s="112">
        <v>0</v>
      </c>
      <c r="I621" s="112">
        <v>0</v>
      </c>
      <c r="J621" s="112">
        <v>0</v>
      </c>
      <c r="K621" s="112">
        <v>0</v>
      </c>
      <c r="L621" s="112">
        <v>0</v>
      </c>
      <c r="M621" s="112">
        <v>0</v>
      </c>
      <c r="N621" s="112"/>
      <c r="O621" s="112">
        <v>0</v>
      </c>
      <c r="P621" s="112">
        <v>0</v>
      </c>
      <c r="Q621" s="112">
        <v>0</v>
      </c>
      <c r="R621" s="111"/>
      <c r="S621" s="112">
        <v>0</v>
      </c>
      <c r="T621" s="112">
        <v>0</v>
      </c>
      <c r="U621" s="112">
        <v>0</v>
      </c>
      <c r="V621" s="112">
        <v>0</v>
      </c>
      <c r="W621" s="112">
        <v>0</v>
      </c>
      <c r="X621" s="112">
        <v>0</v>
      </c>
      <c r="Y621" s="112">
        <v>0</v>
      </c>
      <c r="Z621" s="111">
        <v>0</v>
      </c>
      <c r="AA621" s="111">
        <v>0</v>
      </c>
      <c r="AB621" s="111">
        <v>0</v>
      </c>
      <c r="AC621" s="111">
        <v>0</v>
      </c>
      <c r="AD621" s="111">
        <v>0</v>
      </c>
      <c r="AE621" s="111"/>
      <c r="AF621" s="111">
        <v>0</v>
      </c>
      <c r="AG621" s="111"/>
      <c r="AH621" s="111">
        <v>1</v>
      </c>
      <c r="AI621" s="111"/>
      <c r="AJ621" s="111">
        <v>0</v>
      </c>
      <c r="AK621" s="112">
        <f t="shared" si="583"/>
        <v>1</v>
      </c>
      <c r="AL621" s="95" t="str">
        <f t="shared" si="582"/>
        <v>ok</v>
      </c>
    </row>
    <row r="622" spans="1:38" x14ac:dyDescent="0.25">
      <c r="A622" s="94" t="s">
        <v>499</v>
      </c>
      <c r="C622" s="94" t="s">
        <v>1493</v>
      </c>
      <c r="F622" s="111">
        <v>1</v>
      </c>
      <c r="G622" s="111"/>
      <c r="H622" s="112">
        <v>0</v>
      </c>
      <c r="I622" s="112">
        <v>0</v>
      </c>
      <c r="J622" s="112">
        <v>0</v>
      </c>
      <c r="K622" s="112">
        <v>0</v>
      </c>
      <c r="L622" s="112">
        <v>0</v>
      </c>
      <c r="M622" s="112">
        <v>0</v>
      </c>
      <c r="N622" s="112"/>
      <c r="O622" s="112">
        <v>0</v>
      </c>
      <c r="P622" s="112">
        <v>0</v>
      </c>
      <c r="Q622" s="112">
        <v>0</v>
      </c>
      <c r="R622" s="111"/>
      <c r="S622" s="112">
        <v>0</v>
      </c>
      <c r="T622" s="112">
        <v>0</v>
      </c>
      <c r="U622" s="112">
        <v>0</v>
      </c>
      <c r="V622" s="112">
        <v>0</v>
      </c>
      <c r="W622" s="112">
        <v>0</v>
      </c>
      <c r="X622" s="112">
        <v>0</v>
      </c>
      <c r="Y622" s="112">
        <v>0</v>
      </c>
      <c r="Z622" s="111">
        <v>0</v>
      </c>
      <c r="AA622" s="111">
        <v>0</v>
      </c>
      <c r="AB622" s="111">
        <v>0</v>
      </c>
      <c r="AC622" s="111">
        <v>0</v>
      </c>
      <c r="AD622" s="111">
        <v>0</v>
      </c>
      <c r="AE622" s="111"/>
      <c r="AF622" s="111">
        <v>0</v>
      </c>
      <c r="AG622" s="111"/>
      <c r="AH622" s="111">
        <v>1</v>
      </c>
      <c r="AI622" s="111"/>
      <c r="AJ622" s="111">
        <v>0</v>
      </c>
      <c r="AK622" s="112">
        <f t="shared" si="583"/>
        <v>1</v>
      </c>
      <c r="AL622" s="95" t="str">
        <f t="shared" si="582"/>
        <v>ok</v>
      </c>
    </row>
    <row r="623" spans="1:38" x14ac:dyDescent="0.25">
      <c r="A623" s="94" t="s">
        <v>552</v>
      </c>
      <c r="C623" s="94" t="s">
        <v>585</v>
      </c>
      <c r="F623" s="111">
        <v>1</v>
      </c>
      <c r="G623" s="111"/>
      <c r="H623" s="112">
        <v>0</v>
      </c>
      <c r="I623" s="112">
        <v>0</v>
      </c>
      <c r="J623" s="112">
        <v>0</v>
      </c>
      <c r="K623" s="112">
        <v>0</v>
      </c>
      <c r="L623" s="112">
        <v>0</v>
      </c>
      <c r="M623" s="112">
        <v>0</v>
      </c>
      <c r="N623" s="112"/>
      <c r="O623" s="112">
        <v>0.34354647720544701</v>
      </c>
      <c r="P623" s="112">
        <v>0.32385361968615639</v>
      </c>
      <c r="Q623" s="112">
        <v>0.3325999031083966</v>
      </c>
      <c r="R623" s="111"/>
      <c r="S623" s="112">
        <v>0</v>
      </c>
      <c r="T623" s="112">
        <v>0</v>
      </c>
      <c r="U623" s="112">
        <v>0</v>
      </c>
      <c r="V623" s="112">
        <v>0</v>
      </c>
      <c r="W623" s="112">
        <v>0</v>
      </c>
      <c r="X623" s="112">
        <v>0</v>
      </c>
      <c r="Y623" s="112">
        <v>0</v>
      </c>
      <c r="Z623" s="111">
        <v>0</v>
      </c>
      <c r="AA623" s="111">
        <v>0</v>
      </c>
      <c r="AB623" s="111">
        <v>0</v>
      </c>
      <c r="AC623" s="111">
        <v>0</v>
      </c>
      <c r="AD623" s="111">
        <v>0</v>
      </c>
      <c r="AE623" s="111"/>
      <c r="AF623" s="111">
        <v>0</v>
      </c>
      <c r="AG623" s="111"/>
      <c r="AH623" s="111">
        <v>0</v>
      </c>
      <c r="AI623" s="111"/>
      <c r="AJ623" s="111">
        <v>0</v>
      </c>
      <c r="AK623" s="112">
        <f t="shared" si="583"/>
        <v>1</v>
      </c>
      <c r="AL623" s="95" t="str">
        <f t="shared" si="582"/>
        <v>ok</v>
      </c>
    </row>
    <row r="624" spans="1:38" x14ac:dyDescent="0.25">
      <c r="A624" s="94" t="s">
        <v>1250</v>
      </c>
      <c r="C624" s="94" t="s">
        <v>1251</v>
      </c>
      <c r="F624" s="111">
        <v>1</v>
      </c>
      <c r="G624" s="111"/>
      <c r="H624" s="112">
        <v>0</v>
      </c>
      <c r="I624" s="112">
        <v>0</v>
      </c>
      <c r="J624" s="112">
        <v>0</v>
      </c>
      <c r="K624" s="112">
        <v>0</v>
      </c>
      <c r="L624" s="112">
        <v>0</v>
      </c>
      <c r="M624" s="112">
        <v>0</v>
      </c>
      <c r="N624" s="112"/>
      <c r="O624" s="112">
        <v>0</v>
      </c>
      <c r="P624" s="112">
        <v>0</v>
      </c>
      <c r="Q624" s="112">
        <v>0</v>
      </c>
      <c r="R624" s="111"/>
      <c r="S624" s="112">
        <v>0</v>
      </c>
      <c r="T624" s="112">
        <v>0</v>
      </c>
      <c r="U624" s="112">
        <v>0</v>
      </c>
      <c r="V624" s="112">
        <v>0</v>
      </c>
      <c r="W624" s="112">
        <v>0</v>
      </c>
      <c r="X624" s="112">
        <v>0</v>
      </c>
      <c r="Y624" s="112">
        <v>0</v>
      </c>
      <c r="Z624" s="111">
        <v>0</v>
      </c>
      <c r="AA624" s="111">
        <v>0</v>
      </c>
      <c r="AB624" s="111">
        <v>0</v>
      </c>
      <c r="AC624" s="111">
        <v>0</v>
      </c>
      <c r="AD624" s="111">
        <v>0</v>
      </c>
      <c r="AE624" s="111"/>
      <c r="AF624" s="111">
        <v>0</v>
      </c>
      <c r="AG624" s="111"/>
      <c r="AH624" s="111">
        <v>0</v>
      </c>
      <c r="AI624" s="111"/>
      <c r="AJ624" s="111">
        <v>1</v>
      </c>
      <c r="AK624" s="112">
        <f t="shared" si="583"/>
        <v>1</v>
      </c>
      <c r="AL624" s="95" t="str">
        <f t="shared" si="582"/>
        <v>ok</v>
      </c>
    </row>
    <row r="625" spans="1:38" x14ac:dyDescent="0.25">
      <c r="A625" s="94" t="s">
        <v>899</v>
      </c>
      <c r="C625" s="94" t="s">
        <v>882</v>
      </c>
      <c r="F625" s="111">
        <v>1</v>
      </c>
      <c r="G625" s="111"/>
      <c r="H625" s="112">
        <v>0.34354647720544701</v>
      </c>
      <c r="I625" s="112">
        <v>0.32385361968615639</v>
      </c>
      <c r="J625" s="112">
        <v>0.3325999031083966</v>
      </c>
      <c r="K625" s="112">
        <v>0</v>
      </c>
      <c r="L625" s="112">
        <v>0</v>
      </c>
      <c r="M625" s="112">
        <v>0</v>
      </c>
      <c r="N625" s="112"/>
      <c r="O625" s="112">
        <v>0</v>
      </c>
      <c r="P625" s="112">
        <v>0</v>
      </c>
      <c r="Q625" s="112">
        <v>0</v>
      </c>
      <c r="R625" s="111"/>
      <c r="S625" s="112">
        <v>0</v>
      </c>
      <c r="T625" s="112">
        <v>0</v>
      </c>
      <c r="U625" s="112">
        <v>0</v>
      </c>
      <c r="V625" s="112">
        <v>0</v>
      </c>
      <c r="W625" s="112">
        <v>0</v>
      </c>
      <c r="X625" s="112">
        <v>0</v>
      </c>
      <c r="Y625" s="112">
        <v>0</v>
      </c>
      <c r="Z625" s="111">
        <v>0</v>
      </c>
      <c r="AA625" s="111">
        <v>0</v>
      </c>
      <c r="AB625" s="111">
        <v>0</v>
      </c>
      <c r="AC625" s="111">
        <v>0</v>
      </c>
      <c r="AD625" s="111">
        <v>0</v>
      </c>
      <c r="AE625" s="111"/>
      <c r="AF625" s="111">
        <v>0</v>
      </c>
      <c r="AG625" s="111"/>
      <c r="AH625" s="111">
        <v>0</v>
      </c>
      <c r="AI625" s="111"/>
      <c r="AJ625" s="111">
        <v>0</v>
      </c>
      <c r="AK625" s="112">
        <f t="shared" si="583"/>
        <v>1</v>
      </c>
      <c r="AL625" s="95" t="str">
        <f t="shared" si="582"/>
        <v>ok</v>
      </c>
    </row>
    <row r="626" spans="1:38" x14ac:dyDescent="0.25">
      <c r="A626" s="94" t="s">
        <v>900</v>
      </c>
      <c r="C626" s="94" t="s">
        <v>884</v>
      </c>
      <c r="F626" s="111">
        <v>1</v>
      </c>
      <c r="G626" s="111"/>
      <c r="H626" s="112">
        <v>0</v>
      </c>
      <c r="I626" s="112">
        <v>0</v>
      </c>
      <c r="J626" s="112">
        <v>0</v>
      </c>
      <c r="K626" s="112">
        <v>1</v>
      </c>
      <c r="L626" s="112">
        <v>0</v>
      </c>
      <c r="M626" s="112">
        <v>0</v>
      </c>
      <c r="N626" s="112"/>
      <c r="O626" s="112">
        <v>0</v>
      </c>
      <c r="P626" s="112">
        <v>0</v>
      </c>
      <c r="Q626" s="112">
        <v>0</v>
      </c>
      <c r="R626" s="111"/>
      <c r="S626" s="112">
        <v>0</v>
      </c>
      <c r="T626" s="112">
        <v>0</v>
      </c>
      <c r="U626" s="112">
        <v>0</v>
      </c>
      <c r="V626" s="112">
        <v>0</v>
      </c>
      <c r="W626" s="112">
        <v>0</v>
      </c>
      <c r="X626" s="112">
        <v>0</v>
      </c>
      <c r="Y626" s="112">
        <v>0</v>
      </c>
      <c r="Z626" s="111">
        <v>0</v>
      </c>
      <c r="AA626" s="111">
        <v>0</v>
      </c>
      <c r="AB626" s="111">
        <v>0</v>
      </c>
      <c r="AC626" s="111">
        <v>0</v>
      </c>
      <c r="AD626" s="111">
        <v>0</v>
      </c>
      <c r="AE626" s="111"/>
      <c r="AF626" s="111">
        <v>0</v>
      </c>
      <c r="AG626" s="111"/>
      <c r="AH626" s="111">
        <v>0</v>
      </c>
      <c r="AI626" s="111"/>
      <c r="AJ626" s="111">
        <v>0</v>
      </c>
      <c r="AK626" s="112">
        <f t="shared" si="583"/>
        <v>1</v>
      </c>
      <c r="AL626" s="95" t="str">
        <f t="shared" si="582"/>
        <v>ok</v>
      </c>
    </row>
    <row r="627" spans="1:38" x14ac:dyDescent="0.25">
      <c r="A627" s="94" t="s">
        <v>901</v>
      </c>
      <c r="C627" s="94" t="s">
        <v>902</v>
      </c>
      <c r="F627" s="111">
        <v>1</v>
      </c>
      <c r="G627" s="111"/>
      <c r="H627" s="112">
        <v>0</v>
      </c>
      <c r="I627" s="112">
        <v>0</v>
      </c>
      <c r="J627" s="112">
        <v>0</v>
      </c>
      <c r="K627" s="112">
        <v>1</v>
      </c>
      <c r="L627" s="112">
        <v>0</v>
      </c>
      <c r="M627" s="112">
        <v>0</v>
      </c>
      <c r="N627" s="112"/>
      <c r="O627" s="112">
        <v>0</v>
      </c>
      <c r="P627" s="112">
        <v>0</v>
      </c>
      <c r="Q627" s="112">
        <v>0</v>
      </c>
      <c r="R627" s="111"/>
      <c r="S627" s="112">
        <v>0</v>
      </c>
      <c r="T627" s="112">
        <v>0</v>
      </c>
      <c r="U627" s="112">
        <v>0</v>
      </c>
      <c r="V627" s="112">
        <v>0</v>
      </c>
      <c r="W627" s="112">
        <v>0</v>
      </c>
      <c r="X627" s="112">
        <v>0</v>
      </c>
      <c r="Y627" s="112">
        <v>0</v>
      </c>
      <c r="Z627" s="111">
        <v>0</v>
      </c>
      <c r="AA627" s="111">
        <v>0</v>
      </c>
      <c r="AB627" s="111">
        <v>0</v>
      </c>
      <c r="AC627" s="111">
        <v>0</v>
      </c>
      <c r="AD627" s="111">
        <v>0</v>
      </c>
      <c r="AE627" s="111"/>
      <c r="AF627" s="111">
        <v>0</v>
      </c>
      <c r="AG627" s="111"/>
      <c r="AH627" s="111">
        <v>0</v>
      </c>
      <c r="AI627" s="111"/>
      <c r="AJ627" s="111">
        <v>0</v>
      </c>
      <c r="AK627" s="112">
        <f t="shared" si="583"/>
        <v>1</v>
      </c>
      <c r="AL627" s="95" t="str">
        <f t="shared" si="582"/>
        <v>ok</v>
      </c>
    </row>
    <row r="628" spans="1:38" x14ac:dyDescent="0.25">
      <c r="A628" s="94" t="s">
        <v>903</v>
      </c>
      <c r="C628" s="94" t="s">
        <v>893</v>
      </c>
      <c r="F628" s="113">
        <f>F360+F361+F362+F363+F364</f>
        <v>17747781.320767153</v>
      </c>
      <c r="G628" s="111"/>
      <c r="H628" s="103">
        <f t="shared" ref="H628:M628" si="584">H360+H361+H362+H363+H364</f>
        <v>5054286.4393313173</v>
      </c>
      <c r="I628" s="98">
        <f t="shared" si="584"/>
        <v>4764563.3616241002</v>
      </c>
      <c r="J628" s="98">
        <f t="shared" si="584"/>
        <v>4893239.464069305</v>
      </c>
      <c r="K628" s="98">
        <f t="shared" si="584"/>
        <v>3035692.05574243</v>
      </c>
      <c r="L628" s="98">
        <f t="shared" si="584"/>
        <v>0</v>
      </c>
      <c r="M628" s="98">
        <f t="shared" si="584"/>
        <v>0</v>
      </c>
      <c r="N628" s="98"/>
      <c r="O628" s="98">
        <f>O360+O361+O362+O363+O364</f>
        <v>0</v>
      </c>
      <c r="P628" s="98">
        <f>P360+P361+P362+P363+P364</f>
        <v>0</v>
      </c>
      <c r="Q628" s="98">
        <f>Q360+Q361+Q362+Q363+Q364</f>
        <v>0</v>
      </c>
      <c r="R628" s="102"/>
      <c r="S628" s="98">
        <f t="shared" ref="S628:AD628" si="585">S360+S361+S362+S363+S364</f>
        <v>0</v>
      </c>
      <c r="T628" s="98">
        <f t="shared" si="585"/>
        <v>0</v>
      </c>
      <c r="U628" s="98">
        <f t="shared" si="585"/>
        <v>0</v>
      </c>
      <c r="V628" s="98">
        <f t="shared" si="585"/>
        <v>0</v>
      </c>
      <c r="W628" s="98">
        <f t="shared" si="585"/>
        <v>0</v>
      </c>
      <c r="X628" s="103">
        <f t="shared" si="585"/>
        <v>0</v>
      </c>
      <c r="Y628" s="103">
        <f t="shared" si="585"/>
        <v>0</v>
      </c>
      <c r="Z628" s="103">
        <f t="shared" si="585"/>
        <v>0</v>
      </c>
      <c r="AA628" s="103">
        <f t="shared" si="585"/>
        <v>0</v>
      </c>
      <c r="AB628" s="103">
        <f t="shared" si="585"/>
        <v>0</v>
      </c>
      <c r="AC628" s="103">
        <f t="shared" si="585"/>
        <v>0</v>
      </c>
      <c r="AD628" s="103">
        <f t="shared" si="585"/>
        <v>0</v>
      </c>
      <c r="AE628" s="111"/>
      <c r="AF628" s="103">
        <f>AF360+AF361+AF362+AF363+AF364</f>
        <v>0</v>
      </c>
      <c r="AG628" s="111"/>
      <c r="AH628" s="103">
        <f>AH360+AH361+AH362+AH363+AH364</f>
        <v>0</v>
      </c>
      <c r="AI628" s="111"/>
      <c r="AJ628" s="103">
        <f>AJ360+AJ361+AJ362+AJ363+AJ364</f>
        <v>0</v>
      </c>
      <c r="AK628" s="98">
        <f t="shared" si="583"/>
        <v>17747781.320767153</v>
      </c>
      <c r="AL628" s="95" t="str">
        <f t="shared" si="582"/>
        <v>ok</v>
      </c>
    </row>
    <row r="629" spans="1:38" x14ac:dyDescent="0.25">
      <c r="A629" s="94" t="s">
        <v>885</v>
      </c>
      <c r="C629" s="94" t="s">
        <v>885</v>
      </c>
      <c r="F629" s="111">
        <v>1</v>
      </c>
      <c r="G629" s="111"/>
      <c r="H629" s="112">
        <v>0.34354647720544701</v>
      </c>
      <c r="I629" s="112">
        <v>0.32385361968615639</v>
      </c>
      <c r="J629" s="112">
        <v>0.3325999031083966</v>
      </c>
      <c r="K629" s="112">
        <v>0</v>
      </c>
      <c r="L629" s="112">
        <v>0</v>
      </c>
      <c r="M629" s="112">
        <v>0</v>
      </c>
      <c r="N629" s="112"/>
      <c r="O629" s="112">
        <v>0</v>
      </c>
      <c r="P629" s="112">
        <v>0</v>
      </c>
      <c r="Q629" s="112">
        <v>0</v>
      </c>
      <c r="R629" s="111"/>
      <c r="S629" s="112">
        <v>0</v>
      </c>
      <c r="T629" s="112">
        <v>0</v>
      </c>
      <c r="U629" s="112">
        <v>0</v>
      </c>
      <c r="V629" s="112">
        <v>0</v>
      </c>
      <c r="W629" s="112">
        <v>0</v>
      </c>
      <c r="X629" s="112">
        <v>0</v>
      </c>
      <c r="Y629" s="112">
        <v>0</v>
      </c>
      <c r="Z629" s="111">
        <v>0</v>
      </c>
      <c r="AA629" s="111">
        <v>0</v>
      </c>
      <c r="AB629" s="111">
        <v>0</v>
      </c>
      <c r="AC629" s="111">
        <v>0</v>
      </c>
      <c r="AD629" s="111">
        <v>0</v>
      </c>
      <c r="AE629" s="111"/>
      <c r="AF629" s="111">
        <v>0</v>
      </c>
      <c r="AG629" s="111"/>
      <c r="AH629" s="111">
        <v>0</v>
      </c>
      <c r="AI629" s="111"/>
      <c r="AJ629" s="111">
        <v>0</v>
      </c>
      <c r="AK629" s="112">
        <f t="shared" si="583"/>
        <v>1</v>
      </c>
      <c r="AL629" s="95" t="str">
        <f t="shared" si="582"/>
        <v>ok</v>
      </c>
    </row>
    <row r="630" spans="1:38" x14ac:dyDescent="0.25">
      <c r="A630" s="94" t="s">
        <v>904</v>
      </c>
      <c r="C630" s="94" t="s">
        <v>894</v>
      </c>
      <c r="F630" s="98">
        <f>F370+F371+F372+F373</f>
        <v>10978176.48959785</v>
      </c>
      <c r="G630" s="111"/>
      <c r="H630" s="98">
        <f t="shared" ref="H630:M630" si="586">H370+H371+H372+H373</f>
        <v>339969.79858699662</v>
      </c>
      <c r="I630" s="98">
        <f t="shared" si="586"/>
        <v>320481.96433849714</v>
      </c>
      <c r="J630" s="98">
        <f t="shared" si="586"/>
        <v>329137.18979046884</v>
      </c>
      <c r="K630" s="98">
        <f t="shared" si="586"/>
        <v>9988587.5368818864</v>
      </c>
      <c r="L630" s="98">
        <f t="shared" si="586"/>
        <v>0</v>
      </c>
      <c r="M630" s="98">
        <f t="shared" si="586"/>
        <v>0</v>
      </c>
      <c r="N630" s="98"/>
      <c r="O630" s="98">
        <f>O370+O371+O372+O373</f>
        <v>0</v>
      </c>
      <c r="P630" s="98">
        <f>P370+P371+P372+P373</f>
        <v>0</v>
      </c>
      <c r="Q630" s="98">
        <f>Q370+Q371+Q372+Q373</f>
        <v>0</v>
      </c>
      <c r="R630" s="102"/>
      <c r="S630" s="98">
        <f t="shared" ref="S630:AD630" si="587">S370+S371+S372+S373</f>
        <v>0</v>
      </c>
      <c r="T630" s="98">
        <f t="shared" si="587"/>
        <v>0</v>
      </c>
      <c r="U630" s="98">
        <f t="shared" si="587"/>
        <v>0</v>
      </c>
      <c r="V630" s="98">
        <f t="shared" si="587"/>
        <v>0</v>
      </c>
      <c r="W630" s="98">
        <f t="shared" si="587"/>
        <v>0</v>
      </c>
      <c r="X630" s="98">
        <f t="shared" si="587"/>
        <v>0</v>
      </c>
      <c r="Y630" s="98">
        <f t="shared" si="587"/>
        <v>0</v>
      </c>
      <c r="Z630" s="98">
        <f t="shared" si="587"/>
        <v>0</v>
      </c>
      <c r="AA630" s="98">
        <f t="shared" si="587"/>
        <v>0</v>
      </c>
      <c r="AB630" s="98">
        <f t="shared" si="587"/>
        <v>0</v>
      </c>
      <c r="AC630" s="98">
        <f t="shared" si="587"/>
        <v>0</v>
      </c>
      <c r="AD630" s="98">
        <f t="shared" si="587"/>
        <v>0</v>
      </c>
      <c r="AE630" s="102"/>
      <c r="AF630" s="98">
        <f>AF370+AF371+AF372+AF373</f>
        <v>0</v>
      </c>
      <c r="AG630" s="102"/>
      <c r="AH630" s="98">
        <f>AH370+AH371+AH372+AH373</f>
        <v>0</v>
      </c>
      <c r="AI630" s="102"/>
      <c r="AJ630" s="98">
        <f>AJ370+AJ371+AJ372+AJ373</f>
        <v>0</v>
      </c>
      <c r="AK630" s="98">
        <f t="shared" si="583"/>
        <v>10978176.48959785</v>
      </c>
      <c r="AL630" s="95" t="str">
        <f t="shared" si="582"/>
        <v>ok</v>
      </c>
    </row>
    <row r="631" spans="1:38" x14ac:dyDescent="0.25">
      <c r="A631" s="94" t="s">
        <v>905</v>
      </c>
      <c r="C631" s="94" t="s">
        <v>895</v>
      </c>
      <c r="F631" s="98">
        <f>F381+F382+F383+F384+F385</f>
        <v>4594.7000934119114</v>
      </c>
      <c r="G631" s="111"/>
      <c r="H631" s="98">
        <f t="shared" ref="H631:M631" si="588">H381+H382+H383+H384+H385</f>
        <v>1578.4930309072006</v>
      </c>
      <c r="I631" s="98">
        <f t="shared" si="588"/>
        <v>1488.0102566237683</v>
      </c>
      <c r="J631" s="98">
        <f t="shared" si="588"/>
        <v>1528.1968058809425</v>
      </c>
      <c r="K631" s="98">
        <f t="shared" si="588"/>
        <v>0</v>
      </c>
      <c r="L631" s="98">
        <f t="shared" si="588"/>
        <v>0</v>
      </c>
      <c r="M631" s="98">
        <f t="shared" si="588"/>
        <v>0</v>
      </c>
      <c r="N631" s="98"/>
      <c r="O631" s="98">
        <f>O381+O382+O383+O384+O385</f>
        <v>0</v>
      </c>
      <c r="P631" s="98">
        <f>P381+P382+P383+P384+P385</f>
        <v>0</v>
      </c>
      <c r="Q631" s="98">
        <f>Q381+Q382+Q383+Q384+Q385</f>
        <v>0</v>
      </c>
      <c r="R631" s="102"/>
      <c r="S631" s="98">
        <f t="shared" ref="S631:AD631" si="589">S381+S382+S383+S384+S385</f>
        <v>0</v>
      </c>
      <c r="T631" s="98">
        <f t="shared" si="589"/>
        <v>0</v>
      </c>
      <c r="U631" s="98">
        <f t="shared" si="589"/>
        <v>0</v>
      </c>
      <c r="V631" s="98">
        <f t="shared" si="589"/>
        <v>0</v>
      </c>
      <c r="W631" s="98">
        <f t="shared" si="589"/>
        <v>0</v>
      </c>
      <c r="X631" s="98">
        <f t="shared" si="589"/>
        <v>0</v>
      </c>
      <c r="Y631" s="98">
        <f t="shared" si="589"/>
        <v>0</v>
      </c>
      <c r="Z631" s="98">
        <f t="shared" si="589"/>
        <v>0</v>
      </c>
      <c r="AA631" s="98">
        <f t="shared" si="589"/>
        <v>0</v>
      </c>
      <c r="AB631" s="98">
        <f t="shared" si="589"/>
        <v>0</v>
      </c>
      <c r="AC631" s="98">
        <f t="shared" si="589"/>
        <v>0</v>
      </c>
      <c r="AD631" s="98">
        <f t="shared" si="589"/>
        <v>0</v>
      </c>
      <c r="AE631" s="102"/>
      <c r="AF631" s="98">
        <f>AF381+AF382+AF383+AF384+AF385</f>
        <v>0</v>
      </c>
      <c r="AG631" s="102"/>
      <c r="AH631" s="98">
        <f>AH381+AH382+AH383+AH384+AH385</f>
        <v>0</v>
      </c>
      <c r="AI631" s="102"/>
      <c r="AJ631" s="98">
        <f>AJ381+AJ382+AJ383+AJ384+AJ385</f>
        <v>0</v>
      </c>
      <c r="AK631" s="98">
        <f t="shared" si="583"/>
        <v>4594.7000934119114</v>
      </c>
      <c r="AL631" s="95" t="str">
        <f t="shared" si="582"/>
        <v>ok</v>
      </c>
    </row>
    <row r="632" spans="1:38" x14ac:dyDescent="0.25">
      <c r="A632" s="94" t="s">
        <v>906</v>
      </c>
      <c r="C632" s="94" t="s">
        <v>896</v>
      </c>
      <c r="F632" s="98">
        <f>F391+F392+F393+F394</f>
        <v>68245.8556684879</v>
      </c>
      <c r="G632" s="111"/>
      <c r="H632" s="98">
        <f t="shared" ref="H632:M632" si="590">H391+H392+H393+H394</f>
        <v>6637.3721318932239</v>
      </c>
      <c r="I632" s="98">
        <f t="shared" si="590"/>
        <v>6256.9030181968055</v>
      </c>
      <c r="J632" s="98">
        <f t="shared" si="590"/>
        <v>6425.8825935853793</v>
      </c>
      <c r="K632" s="98">
        <f t="shared" si="590"/>
        <v>48925.697924812492</v>
      </c>
      <c r="L632" s="98">
        <f t="shared" si="590"/>
        <v>0</v>
      </c>
      <c r="M632" s="98">
        <f t="shared" si="590"/>
        <v>0</v>
      </c>
      <c r="N632" s="98"/>
      <c r="O632" s="98">
        <f>O391+O392+O393+O394</f>
        <v>0</v>
      </c>
      <c r="P632" s="98">
        <f>P391+P392+P393+P394</f>
        <v>0</v>
      </c>
      <c r="Q632" s="98">
        <f>Q391+Q392+Q393+Q394</f>
        <v>0</v>
      </c>
      <c r="R632" s="102"/>
      <c r="S632" s="98">
        <f t="shared" ref="S632:AD632" si="591">S391+S392+S393+S394</f>
        <v>0</v>
      </c>
      <c r="T632" s="98">
        <f t="shared" si="591"/>
        <v>0</v>
      </c>
      <c r="U632" s="98">
        <f t="shared" si="591"/>
        <v>0</v>
      </c>
      <c r="V632" s="98">
        <f t="shared" si="591"/>
        <v>0</v>
      </c>
      <c r="W632" s="98">
        <f t="shared" si="591"/>
        <v>0</v>
      </c>
      <c r="X632" s="98">
        <f t="shared" si="591"/>
        <v>0</v>
      </c>
      <c r="Y632" s="98">
        <f t="shared" si="591"/>
        <v>0</v>
      </c>
      <c r="Z632" s="98">
        <f t="shared" si="591"/>
        <v>0</v>
      </c>
      <c r="AA632" s="98">
        <f t="shared" si="591"/>
        <v>0</v>
      </c>
      <c r="AB632" s="98">
        <f t="shared" si="591"/>
        <v>0</v>
      </c>
      <c r="AC632" s="98">
        <f t="shared" si="591"/>
        <v>0</v>
      </c>
      <c r="AD632" s="98">
        <f t="shared" si="591"/>
        <v>0</v>
      </c>
      <c r="AE632" s="102"/>
      <c r="AF632" s="98">
        <f>AF391+AF392+AF393+AF394</f>
        <v>0</v>
      </c>
      <c r="AG632" s="102"/>
      <c r="AH632" s="98">
        <f>AH391+AH392+AH393+AH394</f>
        <v>0</v>
      </c>
      <c r="AI632" s="102"/>
      <c r="AJ632" s="98">
        <f>AJ391+AJ392+AJ393+AJ394</f>
        <v>0</v>
      </c>
      <c r="AK632" s="98">
        <f t="shared" si="583"/>
        <v>68245.8556684879</v>
      </c>
      <c r="AL632" s="95" t="str">
        <f t="shared" si="582"/>
        <v>ok</v>
      </c>
    </row>
    <row r="633" spans="1:38" x14ac:dyDescent="0.25">
      <c r="A633" s="94" t="s">
        <v>907</v>
      </c>
      <c r="C633" s="94" t="s">
        <v>897</v>
      </c>
      <c r="F633" s="98">
        <f>F446+F447+F448+F449+F450+F451+F452+F453+F454+F455</f>
        <v>10093340.450241275</v>
      </c>
      <c r="G633" s="111"/>
      <c r="H633" s="98">
        <f t="shared" ref="H633:M633" si="592">H446+H447+H448+H449+H450+H451+H452+H453+H454+H455</f>
        <v>0</v>
      </c>
      <c r="I633" s="98">
        <f t="shared" si="592"/>
        <v>0</v>
      </c>
      <c r="J633" s="98">
        <f t="shared" si="592"/>
        <v>0</v>
      </c>
      <c r="K633" s="98">
        <f t="shared" si="592"/>
        <v>0</v>
      </c>
      <c r="L633" s="98">
        <f t="shared" si="592"/>
        <v>0</v>
      </c>
      <c r="M633" s="98">
        <f t="shared" si="592"/>
        <v>0</v>
      </c>
      <c r="N633" s="98"/>
      <c r="O633" s="98">
        <f>O446+O447+O448+O449+O450+O451+O452+O453+O454+O455</f>
        <v>0</v>
      </c>
      <c r="P633" s="98">
        <f>P446+P447+P448+P449+P450+P451+P452+P453+P454+P455</f>
        <v>0</v>
      </c>
      <c r="Q633" s="98">
        <f>Q446+Q447+Q448+Q449+Q450+Q451+Q452+Q453+Q454+Q455</f>
        <v>0</v>
      </c>
      <c r="R633" s="102"/>
      <c r="S633" s="98">
        <f t="shared" ref="S633:AD633" si="593">S446+S447+S448+S449+S450+S451+S452+S453+S454+S455</f>
        <v>0</v>
      </c>
      <c r="T633" s="98">
        <f t="shared" si="593"/>
        <v>1757901.2952495918</v>
      </c>
      <c r="U633" s="98">
        <f t="shared" si="593"/>
        <v>0</v>
      </c>
      <c r="V633" s="98">
        <f t="shared" si="593"/>
        <v>1094603.8626009619</v>
      </c>
      <c r="W633" s="98">
        <f t="shared" si="593"/>
        <v>1457769.7438000161</v>
      </c>
      <c r="X633" s="98">
        <f t="shared" si="593"/>
        <v>193165.38751781679</v>
      </c>
      <c r="Y633" s="98">
        <f t="shared" si="593"/>
        <v>257253.48420000286</v>
      </c>
      <c r="Z633" s="98">
        <f t="shared" si="593"/>
        <v>286039.44844598655</v>
      </c>
      <c r="AA633" s="98">
        <f t="shared" si="593"/>
        <v>244744.46034226089</v>
      </c>
      <c r="AB633" s="98">
        <f t="shared" si="593"/>
        <v>164068.06481533762</v>
      </c>
      <c r="AC633" s="98">
        <f t="shared" si="593"/>
        <v>4442695.0297127878</v>
      </c>
      <c r="AD633" s="98">
        <f t="shared" si="593"/>
        <v>195099.673556511</v>
      </c>
      <c r="AE633" s="102"/>
      <c r="AF633" s="98">
        <f>AF446+AF447+AF448+AF449+AF450+AF451+AF452+AF453+AF454+AF455</f>
        <v>0</v>
      </c>
      <c r="AG633" s="102"/>
      <c r="AH633" s="98">
        <f>AH446+AH447+AH448+AH449+AH450+AH451+AH452+AH453+AH454+AH455</f>
        <v>0</v>
      </c>
      <c r="AI633" s="102"/>
      <c r="AJ633" s="98">
        <f>AJ446+AJ447+AJ448+AJ449+AJ450+AJ451+AJ452+AJ453+AJ454+AJ455</f>
        <v>0</v>
      </c>
      <c r="AK633" s="98">
        <f t="shared" si="583"/>
        <v>10093340.450241273</v>
      </c>
      <c r="AL633" s="95" t="str">
        <f t="shared" si="582"/>
        <v>ok</v>
      </c>
    </row>
    <row r="634" spans="1:38" x14ac:dyDescent="0.25">
      <c r="A634" s="94" t="s">
        <v>908</v>
      </c>
      <c r="C634" s="94" t="s">
        <v>898</v>
      </c>
      <c r="F634" s="98">
        <f>F471+F472+F473+F474+F475+F476+F477</f>
        <v>6883579.2781213894</v>
      </c>
      <c r="G634" s="111"/>
      <c r="H634" s="98">
        <f t="shared" ref="H634:M634" si="594">H471+H472+H473+H474+H475+H476+H477</f>
        <v>0</v>
      </c>
      <c r="I634" s="98">
        <f t="shared" si="594"/>
        <v>0</v>
      </c>
      <c r="J634" s="98">
        <f t="shared" si="594"/>
        <v>0</v>
      </c>
      <c r="K634" s="98">
        <f t="shared" si="594"/>
        <v>0</v>
      </c>
      <c r="L634" s="98">
        <f t="shared" si="594"/>
        <v>0</v>
      </c>
      <c r="M634" s="98">
        <f t="shared" si="594"/>
        <v>0</v>
      </c>
      <c r="N634" s="98"/>
      <c r="O634" s="98">
        <f>O471+O472+O473+O474+O475+O476+O477</f>
        <v>0</v>
      </c>
      <c r="P634" s="98">
        <f>P471+P472+P473+P474+P475+P476+P477</f>
        <v>0</v>
      </c>
      <c r="Q634" s="98">
        <f>Q471+Q472+Q473+Q474+Q475+Q476+Q477</f>
        <v>0</v>
      </c>
      <c r="R634" s="102"/>
      <c r="S634" s="98">
        <f t="shared" ref="S634:AD634" si="595">S471+S472+S473+S474+S475+S476+S477</f>
        <v>0</v>
      </c>
      <c r="T634" s="98">
        <f t="shared" si="595"/>
        <v>337251.70400784712</v>
      </c>
      <c r="U634" s="98">
        <f t="shared" si="595"/>
        <v>0</v>
      </c>
      <c r="V634" s="98">
        <f t="shared" si="595"/>
        <v>2460894.9688823535</v>
      </c>
      <c r="W634" s="98">
        <f t="shared" si="595"/>
        <v>3023494.3174566603</v>
      </c>
      <c r="X634" s="98">
        <f t="shared" si="595"/>
        <v>434275.58274394477</v>
      </c>
      <c r="Y634" s="98">
        <f t="shared" si="595"/>
        <v>533557.820727646</v>
      </c>
      <c r="Z634" s="98">
        <f t="shared" si="595"/>
        <v>44083.722641811662</v>
      </c>
      <c r="AA634" s="98">
        <f t="shared" si="595"/>
        <v>37719.436834550666</v>
      </c>
      <c r="AB634" s="98">
        <f t="shared" si="595"/>
        <v>4161.0619370329905</v>
      </c>
      <c r="AC634" s="98">
        <f t="shared" si="595"/>
        <v>3297.5167990772466</v>
      </c>
      <c r="AD634" s="98">
        <f t="shared" si="595"/>
        <v>4843.1460904638907</v>
      </c>
      <c r="AE634" s="102"/>
      <c r="AF634" s="98">
        <f>AF471+AF472+AF473+AF474+AF475+AF476+AF477</f>
        <v>0</v>
      </c>
      <c r="AG634" s="102"/>
      <c r="AH634" s="98">
        <f>AH471+AH472+AH473+AH474+AH475+AH476+AH477</f>
        <v>0</v>
      </c>
      <c r="AI634" s="102"/>
      <c r="AJ634" s="98">
        <f>AJ471+AJ472+AJ473+AJ474+AJ475+AJ476+AJ477</f>
        <v>0</v>
      </c>
      <c r="AK634" s="98">
        <f t="shared" si="583"/>
        <v>6883579.2781213885</v>
      </c>
      <c r="AL634" s="95" t="str">
        <f t="shared" si="582"/>
        <v>ok</v>
      </c>
    </row>
    <row r="635" spans="1:38" x14ac:dyDescent="0.25">
      <c r="A635" s="94" t="s">
        <v>381</v>
      </c>
      <c r="C635" s="94" t="s">
        <v>890</v>
      </c>
      <c r="F635" s="111">
        <v>1</v>
      </c>
      <c r="G635" s="111"/>
      <c r="H635" s="112">
        <v>0</v>
      </c>
      <c r="I635" s="112">
        <v>0</v>
      </c>
      <c r="J635" s="112">
        <v>0</v>
      </c>
      <c r="K635" s="112">
        <v>0</v>
      </c>
      <c r="L635" s="112">
        <v>0</v>
      </c>
      <c r="M635" s="112">
        <v>0</v>
      </c>
      <c r="N635" s="112"/>
      <c r="O635" s="112">
        <v>0</v>
      </c>
      <c r="P635" s="112">
        <v>0</v>
      </c>
      <c r="Q635" s="112">
        <v>0</v>
      </c>
      <c r="R635" s="111"/>
      <c r="S635" s="112">
        <v>0</v>
      </c>
      <c r="T635" s="112">
        <v>0</v>
      </c>
      <c r="U635" s="112">
        <v>0</v>
      </c>
      <c r="V635" s="112">
        <v>0</v>
      </c>
      <c r="W635" s="112">
        <v>0</v>
      </c>
      <c r="X635" s="112">
        <v>0</v>
      </c>
      <c r="Y635" s="112">
        <v>0</v>
      </c>
      <c r="Z635" s="111">
        <v>0</v>
      </c>
      <c r="AA635" s="111">
        <v>0</v>
      </c>
      <c r="AB635" s="111">
        <v>0</v>
      </c>
      <c r="AC635" s="111">
        <v>0</v>
      </c>
      <c r="AD635" s="111">
        <v>0</v>
      </c>
      <c r="AE635" s="111"/>
      <c r="AF635" s="111">
        <v>1</v>
      </c>
      <c r="AG635" s="111"/>
      <c r="AH635" s="111">
        <v>0</v>
      </c>
      <c r="AI635" s="111"/>
      <c r="AJ635" s="111">
        <v>0</v>
      </c>
      <c r="AK635" s="112">
        <f t="shared" si="583"/>
        <v>1</v>
      </c>
      <c r="AL635" s="95" t="str">
        <f t="shared" si="582"/>
        <v>ok</v>
      </c>
    </row>
    <row r="636" spans="1:38" x14ac:dyDescent="0.25">
      <c r="A636" s="94" t="s">
        <v>392</v>
      </c>
      <c r="C636" s="94" t="s">
        <v>891</v>
      </c>
      <c r="F636" s="111">
        <v>1</v>
      </c>
      <c r="G636" s="111"/>
      <c r="H636" s="112">
        <v>0</v>
      </c>
      <c r="I636" s="112">
        <v>0</v>
      </c>
      <c r="J636" s="112">
        <v>0</v>
      </c>
      <c r="K636" s="112">
        <v>0</v>
      </c>
      <c r="L636" s="112">
        <v>0</v>
      </c>
      <c r="M636" s="112">
        <v>0</v>
      </c>
      <c r="N636" s="112"/>
      <c r="O636" s="112">
        <v>0</v>
      </c>
      <c r="P636" s="112">
        <v>0</v>
      </c>
      <c r="Q636" s="112">
        <v>0</v>
      </c>
      <c r="R636" s="111"/>
      <c r="S636" s="112">
        <v>0</v>
      </c>
      <c r="T636" s="112">
        <v>0</v>
      </c>
      <c r="U636" s="112">
        <v>0</v>
      </c>
      <c r="V636" s="112">
        <v>0</v>
      </c>
      <c r="W636" s="112">
        <v>0</v>
      </c>
      <c r="X636" s="112">
        <v>0</v>
      </c>
      <c r="Y636" s="112">
        <v>0</v>
      </c>
      <c r="Z636" s="111">
        <v>0</v>
      </c>
      <c r="AA636" s="111">
        <v>0</v>
      </c>
      <c r="AB636" s="111">
        <v>0</v>
      </c>
      <c r="AC636" s="111">
        <v>0</v>
      </c>
      <c r="AD636" s="111">
        <v>0</v>
      </c>
      <c r="AE636" s="111"/>
      <c r="AF636" s="111">
        <v>0</v>
      </c>
      <c r="AG636" s="111"/>
      <c r="AH636" s="111">
        <v>1</v>
      </c>
      <c r="AI636" s="111"/>
      <c r="AJ636" s="111">
        <v>0</v>
      </c>
      <c r="AK636" s="112">
        <f t="shared" si="583"/>
        <v>1</v>
      </c>
      <c r="AL636" s="95" t="str">
        <f t="shared" si="582"/>
        <v>ok</v>
      </c>
    </row>
    <row r="637" spans="1:38" x14ac:dyDescent="0.25">
      <c r="A637" s="94" t="s">
        <v>226</v>
      </c>
      <c r="C637" s="94" t="s">
        <v>683</v>
      </c>
      <c r="F637" s="98">
        <f>F36+F37</f>
        <v>678476389.0999999</v>
      </c>
      <c r="G637" s="98"/>
      <c r="H637" s="98">
        <f t="shared" ref="H637:AJ637" si="596">H36+H37</f>
        <v>0</v>
      </c>
      <c r="I637" s="98">
        <f t="shared" si="596"/>
        <v>0</v>
      </c>
      <c r="J637" s="98">
        <f t="shared" si="596"/>
        <v>0</v>
      </c>
      <c r="K637" s="98">
        <f t="shared" si="596"/>
        <v>0</v>
      </c>
      <c r="L637" s="98">
        <f t="shared" si="596"/>
        <v>0</v>
      </c>
      <c r="M637" s="98">
        <f t="shared" si="596"/>
        <v>0</v>
      </c>
      <c r="N637" s="98"/>
      <c r="O637" s="98">
        <f t="shared" si="596"/>
        <v>0</v>
      </c>
      <c r="P637" s="98">
        <f t="shared" si="596"/>
        <v>0</v>
      </c>
      <c r="Q637" s="98">
        <f t="shared" si="596"/>
        <v>0</v>
      </c>
      <c r="R637" s="98"/>
      <c r="S637" s="98">
        <f t="shared" si="596"/>
        <v>0</v>
      </c>
      <c r="T637" s="98">
        <f t="shared" si="596"/>
        <v>0</v>
      </c>
      <c r="U637" s="98">
        <f t="shared" si="596"/>
        <v>0</v>
      </c>
      <c r="V637" s="98">
        <f t="shared" si="596"/>
        <v>237200170.21559924</v>
      </c>
      <c r="W637" s="98">
        <f t="shared" si="596"/>
        <v>339504760.5194006</v>
      </c>
      <c r="X637" s="98">
        <f t="shared" si="596"/>
        <v>41858853.567458689</v>
      </c>
      <c r="Y637" s="98">
        <f t="shared" si="596"/>
        <v>59912604.797541291</v>
      </c>
      <c r="Z637" s="98">
        <f t="shared" si="596"/>
        <v>0</v>
      </c>
      <c r="AA637" s="98">
        <f t="shared" si="596"/>
        <v>0</v>
      </c>
      <c r="AB637" s="98">
        <f t="shared" si="596"/>
        <v>0</v>
      </c>
      <c r="AC637" s="98">
        <f t="shared" si="596"/>
        <v>0</v>
      </c>
      <c r="AD637" s="98">
        <f t="shared" si="596"/>
        <v>0</v>
      </c>
      <c r="AE637" s="98"/>
      <c r="AF637" s="98">
        <f t="shared" si="596"/>
        <v>0</v>
      </c>
      <c r="AG637" s="98"/>
      <c r="AH637" s="98">
        <f t="shared" si="596"/>
        <v>0</v>
      </c>
      <c r="AI637" s="98"/>
      <c r="AJ637" s="98">
        <f t="shared" si="596"/>
        <v>0</v>
      </c>
      <c r="AK637" s="98">
        <f>SUM(H637:AJ637)</f>
        <v>678476389.09999979</v>
      </c>
      <c r="AL637" s="95"/>
    </row>
    <row r="638" spans="1:38" x14ac:dyDescent="0.25">
      <c r="F638" s="98"/>
      <c r="G638" s="98"/>
      <c r="H638" s="98"/>
      <c r="I638" s="98"/>
      <c r="J638" s="98"/>
      <c r="K638" s="98"/>
      <c r="L638" s="98"/>
      <c r="M638" s="98"/>
      <c r="N638" s="98"/>
      <c r="O638" s="98"/>
      <c r="P638" s="98"/>
      <c r="Q638" s="98"/>
      <c r="R638" s="98"/>
      <c r="S638" s="98"/>
      <c r="T638" s="98"/>
      <c r="U638" s="98"/>
      <c r="V638" s="98"/>
      <c r="W638" s="98"/>
      <c r="X638" s="98"/>
      <c r="Y638" s="98"/>
      <c r="Z638" s="98"/>
      <c r="AA638" s="98"/>
      <c r="AB638" s="98"/>
      <c r="AC638" s="98"/>
      <c r="AD638" s="98"/>
      <c r="AE638" s="98"/>
      <c r="AF638" s="98"/>
      <c r="AG638" s="98"/>
      <c r="AH638" s="98"/>
      <c r="AI638" s="98"/>
      <c r="AJ638" s="98"/>
      <c r="AK638" s="98"/>
      <c r="AL638" s="95"/>
    </row>
    <row r="639" spans="1:38" x14ac:dyDescent="0.25">
      <c r="A639" s="94" t="s">
        <v>535</v>
      </c>
      <c r="D639" s="94" t="s">
        <v>882</v>
      </c>
      <c r="F639" s="98">
        <f>'Jurisdictional Study'!F987</f>
        <v>7557847.9747521561</v>
      </c>
      <c r="G639" s="98"/>
      <c r="H639" s="98">
        <f>IF(VLOOKUP($D639,$C$5:$AJ$646,6,)=0,0,((VLOOKUP($D639,$C$5:$AJ$646,6,)/VLOOKUP($D639,$C$5:$AJ$646,4,))*$F639))</f>
        <v>2596472.0469804252</v>
      </c>
      <c r="I639" s="98">
        <f>IF(VLOOKUP($D639,$C$5:$AJ$646,7,)=0,0,((VLOOKUP($D639,$C$5:$AJ$646,7,)/VLOOKUP($D639,$C$5:$AJ$646,4,))*$F639))</f>
        <v>2447636.4236611719</v>
      </c>
      <c r="J639" s="98">
        <f>IF(VLOOKUP($D639,$C$5:$AJ$646,8,)=0,0,((VLOOKUP($D639,$C$5:$AJ$646,8,)/VLOOKUP($D639,$C$5:$AJ$646,4,))*$F639))</f>
        <v>2513739.5041105584</v>
      </c>
      <c r="K639" s="98">
        <f>IF(VLOOKUP($D639,$C$5:$AJ$646,9,)=0,0,((VLOOKUP($D639,$C$5:$AJ$646,9,)/VLOOKUP($D639,$C$5:$AJ$646,4,))*$F639))</f>
        <v>0</v>
      </c>
      <c r="L639" s="98">
        <f>IF(VLOOKUP($D639,$C$5:$AJ$646,10,)=0,0,((VLOOKUP($D639,$C$5:$AJ$646,10,)/VLOOKUP($D639,$C$5:$AJ$646,4,))*$F639))</f>
        <v>0</v>
      </c>
      <c r="M639" s="98">
        <f>IF(VLOOKUP($D639,$C$5:$AJ$646,11,)=0,0,((VLOOKUP($D639,$C$5:$AJ$646,11,)/VLOOKUP($D639,$C$5:$AJ$646,4,))*$F639))</f>
        <v>0</v>
      </c>
      <c r="N639" s="98"/>
      <c r="O639" s="98">
        <f>IF(VLOOKUP($D639,$C$5:$AJ$646,13,)=0,0,((VLOOKUP($D639,$C$5:$AJ$646,13,)/VLOOKUP($D639,$C$5:$AJ$646,4,))*$F639))</f>
        <v>0</v>
      </c>
      <c r="P639" s="98">
        <f>IF(VLOOKUP($D639,$C$5:$AJ$646,14,)=0,0,((VLOOKUP($D639,$C$5:$AJ$646,14,)/VLOOKUP($D639,$C$5:$AJ$646,4,))*$F639))</f>
        <v>0</v>
      </c>
      <c r="Q639" s="98">
        <f>IF(VLOOKUP($D639,$C$5:$AJ$646,15,)=0,0,((VLOOKUP($D639,$C$5:$AJ$646,15,)/VLOOKUP($D639,$C$5:$AJ$646,4,))*$F639))</f>
        <v>0</v>
      </c>
      <c r="R639" s="98"/>
      <c r="S639" s="98">
        <f>IF(VLOOKUP($D639,$C$5:$AJ$646,17,)=0,0,((VLOOKUP($D639,$C$5:$AJ$646,17,)/VLOOKUP($D639,$C$5:$AJ$646,4,))*$F639))</f>
        <v>0</v>
      </c>
      <c r="T639" s="98">
        <f>IF(VLOOKUP($D639,$C$5:$AJ$646,18,)=0,0,((VLOOKUP($D639,$C$5:$AJ$646,18,)/VLOOKUP($D639,$C$5:$AJ$646,4,))*$F639))</f>
        <v>0</v>
      </c>
      <c r="U639" s="98">
        <f>IF(VLOOKUP($D639,$C$5:$AJ$646,19,)=0,0,((VLOOKUP($D639,$C$5:$AJ$646,19,)/VLOOKUP($D639,$C$5:$AJ$646,4,))*$F639))</f>
        <v>0</v>
      </c>
      <c r="V639" s="98">
        <f>IF(VLOOKUP($D639,$C$5:$AJ$646,20,)=0,0,((VLOOKUP($D639,$C$5:$AJ$646,20,)/VLOOKUP($D639,$C$5:$AJ$646,4,))*$F639))</f>
        <v>0</v>
      </c>
      <c r="W639" s="98">
        <f>IF(VLOOKUP($D639,$C$5:$AJ$646,21,)=0,0,((VLOOKUP($D639,$C$5:$AJ$646,21,)/VLOOKUP($D639,$C$5:$AJ$646,4,))*$F639))</f>
        <v>0</v>
      </c>
      <c r="X639" s="98">
        <f>IF(VLOOKUP($D639,$C$5:$AJ$646,22,)=0,0,((VLOOKUP($D639,$C$5:$AJ$646,22,)/VLOOKUP($D639,$C$5:$AJ$646,4,))*$F639))</f>
        <v>0</v>
      </c>
      <c r="Y639" s="98">
        <f>IF(VLOOKUP($D639,$C$5:$AJ$646,23,)=0,0,((VLOOKUP($D639,$C$5:$AJ$646,23,)/VLOOKUP($D639,$C$5:$AJ$646,4,))*$F639))</f>
        <v>0</v>
      </c>
      <c r="Z639" s="98">
        <f>IF(VLOOKUP($D639,$C$5:$AJ$646,24,)=0,0,((VLOOKUP($D639,$C$5:$AJ$646,24,)/VLOOKUP($D639,$C$5:$AJ$646,4,))*$F639))</f>
        <v>0</v>
      </c>
      <c r="AA639" s="98">
        <f>IF(VLOOKUP($D639,$C$5:$AJ$646,25,)=0,0,((VLOOKUP($D639,$C$5:$AJ$646,25,)/VLOOKUP($D639,$C$5:$AJ$646,4,))*$F639))</f>
        <v>0</v>
      </c>
      <c r="AB639" s="98">
        <f>IF(VLOOKUP($D639,$C$5:$AJ$646,26,)=0,0,((VLOOKUP($D639,$C$5:$AJ$646,26,)/VLOOKUP($D639,$C$5:$AJ$646,4,))*$F639))</f>
        <v>0</v>
      </c>
      <c r="AC639" s="98">
        <f>IF(VLOOKUP($D639,$C$5:$AJ$646,27,)=0,0,((VLOOKUP($D639,$C$5:$AJ$646,27,)/VLOOKUP($D639,$C$5:$AJ$646,4,))*$F639))</f>
        <v>0</v>
      </c>
      <c r="AD639" s="98">
        <f>IF(VLOOKUP($D639,$C$5:$AJ$646,28,)=0,0,((VLOOKUP($D639,$C$5:$AJ$646,28,)/VLOOKUP($D639,$C$5:$AJ$646,4,))*$F639))</f>
        <v>0</v>
      </c>
      <c r="AE639" s="98"/>
      <c r="AF639" s="98">
        <f>IF(VLOOKUP($D639,$C$5:$AJ$646,30,)=0,0,((VLOOKUP($D639,$C$5:$AJ$646,30,)/VLOOKUP($D639,$C$5:$AJ$646,4,))*$F639))</f>
        <v>0</v>
      </c>
      <c r="AG639" s="98"/>
      <c r="AH639" s="98">
        <f>IF(VLOOKUP($D639,$C$5:$AJ$646,32,)=0,0,((VLOOKUP($D639,$C$5:$AJ$646,32,)/VLOOKUP($D639,$C$5:$AJ$646,4,))*$F639))</f>
        <v>0</v>
      </c>
      <c r="AI639" s="98"/>
      <c r="AJ639" s="98">
        <f>IF(VLOOKUP($D639,$C$5:$AJ$646,34,)=0,0,((VLOOKUP($D639,$C$5:$AJ$646,34,)/VLOOKUP($D639,$C$5:$AJ$646,4,))*$F639))</f>
        <v>0</v>
      </c>
      <c r="AK639" s="98">
        <f>SUM(H639:AJ639)</f>
        <v>7557847.9747521561</v>
      </c>
      <c r="AL639" s="95" t="str">
        <f>IF(ABS(AK639-F639)&lt;1,"ok","err")</f>
        <v>ok</v>
      </c>
    </row>
    <row r="640" spans="1:38" x14ac:dyDescent="0.25">
      <c r="A640" s="94" t="s">
        <v>536</v>
      </c>
      <c r="D640" s="94" t="s">
        <v>902</v>
      </c>
      <c r="F640" s="98">
        <f>'Jurisdictional Study'!F988</f>
        <v>82502852.813593268</v>
      </c>
      <c r="G640" s="111"/>
      <c r="H640" s="98">
        <f>IF(VLOOKUP($D640,$C$5:$AJ$646,6,)=0,0,((VLOOKUP($D640,$C$5:$AJ$646,6,)/VLOOKUP($D640,$C$5:$AJ$646,4,))*$F640))</f>
        <v>0</v>
      </c>
      <c r="I640" s="98">
        <f>IF(VLOOKUP($D640,$C$5:$AJ$646,7,)=0,0,((VLOOKUP($D640,$C$5:$AJ$646,7,)/VLOOKUP($D640,$C$5:$AJ$646,4,))*$F640))</f>
        <v>0</v>
      </c>
      <c r="J640" s="98">
        <f>IF(VLOOKUP($D640,$C$5:$AJ$646,8,)=0,0,((VLOOKUP($D640,$C$5:$AJ$646,8,)/VLOOKUP($D640,$C$5:$AJ$646,4,))*$F640))</f>
        <v>0</v>
      </c>
      <c r="K640" s="98">
        <f>IF(VLOOKUP($D640,$C$5:$AJ$646,9,)=0,0,((VLOOKUP($D640,$C$5:$AJ$646,9,)/VLOOKUP($D640,$C$5:$AJ$646,4,))*$F640))</f>
        <v>82502852.813593268</v>
      </c>
      <c r="L640" s="98">
        <f>IF(VLOOKUP($D640,$C$5:$AJ$646,10,)=0,0,((VLOOKUP($D640,$C$5:$AJ$646,10,)/VLOOKUP($D640,$C$5:$AJ$646,4,))*$F640))</f>
        <v>0</v>
      </c>
      <c r="M640" s="98">
        <f>IF(VLOOKUP($D640,$C$5:$AJ$646,11,)=0,0,((VLOOKUP($D640,$C$5:$AJ$646,11,)/VLOOKUP($D640,$C$5:$AJ$646,4,))*$F640))</f>
        <v>0</v>
      </c>
      <c r="N640" s="98"/>
      <c r="O640" s="98">
        <f>IF(VLOOKUP($D640,$C$5:$AJ$646,13,)=0,0,((VLOOKUP($D640,$C$5:$AJ$646,13,)/VLOOKUP($D640,$C$5:$AJ$646,4,))*$F640))</f>
        <v>0</v>
      </c>
      <c r="P640" s="98">
        <f>IF(VLOOKUP($D640,$C$5:$AJ$646,14,)=0,0,((VLOOKUP($D640,$C$5:$AJ$646,14,)/VLOOKUP($D640,$C$5:$AJ$646,4,))*$F640))</f>
        <v>0</v>
      </c>
      <c r="Q640" s="98">
        <f>IF(VLOOKUP($D640,$C$5:$AJ$646,15,)=0,0,((VLOOKUP($D640,$C$5:$AJ$646,15,)/VLOOKUP($D640,$C$5:$AJ$646,4,))*$F640))</f>
        <v>0</v>
      </c>
      <c r="R640" s="98"/>
      <c r="S640" s="98">
        <f>IF(VLOOKUP($D640,$C$5:$AJ$646,17,)=0,0,((VLOOKUP($D640,$C$5:$AJ$646,17,)/VLOOKUP($D640,$C$5:$AJ$646,4,))*$F640))</f>
        <v>0</v>
      </c>
      <c r="T640" s="98">
        <f>IF(VLOOKUP($D640,$C$5:$AJ$646,18,)=0,0,((VLOOKUP($D640,$C$5:$AJ$646,18,)/VLOOKUP($D640,$C$5:$AJ$646,4,))*$F640))</f>
        <v>0</v>
      </c>
      <c r="U640" s="98">
        <f>IF(VLOOKUP($D640,$C$5:$AJ$646,19,)=0,0,((VLOOKUP($D640,$C$5:$AJ$646,19,)/VLOOKUP($D640,$C$5:$AJ$646,4,))*$F640))</f>
        <v>0</v>
      </c>
      <c r="V640" s="98">
        <f>IF(VLOOKUP($D640,$C$5:$AJ$646,20,)=0,0,((VLOOKUP($D640,$C$5:$AJ$646,20,)/VLOOKUP($D640,$C$5:$AJ$646,4,))*$F640))</f>
        <v>0</v>
      </c>
      <c r="W640" s="98">
        <f>IF(VLOOKUP($D640,$C$5:$AJ$646,21,)=0,0,((VLOOKUP($D640,$C$5:$AJ$646,21,)/VLOOKUP($D640,$C$5:$AJ$646,4,))*$F640))</f>
        <v>0</v>
      </c>
      <c r="X640" s="98">
        <f>IF(VLOOKUP($D640,$C$5:$AJ$646,22,)=0,0,((VLOOKUP($D640,$C$5:$AJ$646,22,)/VLOOKUP($D640,$C$5:$AJ$646,4,))*$F640))</f>
        <v>0</v>
      </c>
      <c r="Y640" s="98">
        <f>IF(VLOOKUP($D640,$C$5:$AJ$646,23,)=0,0,((VLOOKUP($D640,$C$5:$AJ$646,23,)/VLOOKUP($D640,$C$5:$AJ$646,4,))*$F640))</f>
        <v>0</v>
      </c>
      <c r="Z640" s="98">
        <f>IF(VLOOKUP($D640,$C$5:$AJ$646,24,)=0,0,((VLOOKUP($D640,$C$5:$AJ$646,24,)/VLOOKUP($D640,$C$5:$AJ$646,4,))*$F640))</f>
        <v>0</v>
      </c>
      <c r="AA640" s="98">
        <f>IF(VLOOKUP($D640,$C$5:$AJ$646,25,)=0,0,((VLOOKUP($D640,$C$5:$AJ$646,25,)/VLOOKUP($D640,$C$5:$AJ$646,4,))*$F640))</f>
        <v>0</v>
      </c>
      <c r="AB640" s="98">
        <f>IF(VLOOKUP($D640,$C$5:$AJ$646,26,)=0,0,((VLOOKUP($D640,$C$5:$AJ$646,26,)/VLOOKUP($D640,$C$5:$AJ$646,4,))*$F640))</f>
        <v>0</v>
      </c>
      <c r="AC640" s="98">
        <f>IF(VLOOKUP($D640,$C$5:$AJ$646,27,)=0,0,((VLOOKUP($D640,$C$5:$AJ$646,27,)/VLOOKUP($D640,$C$5:$AJ$646,4,))*$F640))</f>
        <v>0</v>
      </c>
      <c r="AD640" s="98">
        <f>IF(VLOOKUP($D640,$C$5:$AJ$646,28,)=0,0,((VLOOKUP($D640,$C$5:$AJ$646,28,)/VLOOKUP($D640,$C$5:$AJ$646,4,))*$F640))</f>
        <v>0</v>
      </c>
      <c r="AE640" s="98"/>
      <c r="AF640" s="98">
        <f>IF(VLOOKUP($D640,$C$5:$AJ$646,30,)=0,0,((VLOOKUP($D640,$C$5:$AJ$646,30,)/VLOOKUP($D640,$C$5:$AJ$646,4,))*$F640))</f>
        <v>0</v>
      </c>
      <c r="AG640" s="98"/>
      <c r="AH640" s="98">
        <f>IF(VLOOKUP($D640,$C$5:$AJ$646,32,)=0,0,((VLOOKUP($D640,$C$5:$AJ$646,32,)/VLOOKUP($D640,$C$5:$AJ$646,4,))*$F640))</f>
        <v>0</v>
      </c>
      <c r="AI640" s="98"/>
      <c r="AJ640" s="98">
        <f>IF(VLOOKUP($D640,$C$5:$AJ$646,34,)=0,0,((VLOOKUP($D640,$C$5:$AJ$646,34,)/VLOOKUP($D640,$C$5:$AJ$646,4,))*$F640))</f>
        <v>0</v>
      </c>
      <c r="AK640" s="98">
        <f>SUM(H640:AJ640)</f>
        <v>82502852.813593268</v>
      </c>
      <c r="AL640" s="95" t="str">
        <f>IF(ABS(AK640-F640)&lt;1,"ok","err")</f>
        <v>ok</v>
      </c>
    </row>
    <row r="641" spans="1:38" x14ac:dyDescent="0.25">
      <c r="A641" s="16" t="s">
        <v>595</v>
      </c>
      <c r="C641" s="94" t="s">
        <v>956</v>
      </c>
      <c r="D641" s="94" t="s">
        <v>882</v>
      </c>
      <c r="F641" s="98">
        <f>'Jurisdictional Study'!F989</f>
        <v>90060700.788345426</v>
      </c>
      <c r="G641" s="98"/>
      <c r="H641" s="98">
        <f>H639+H640</f>
        <v>2596472.0469804252</v>
      </c>
      <c r="I641" s="98">
        <f>I639+I640</f>
        <v>2447636.4236611719</v>
      </c>
      <c r="J641" s="98">
        <f>J639+J640</f>
        <v>2513739.5041105584</v>
      </c>
      <c r="K641" s="98">
        <f>K639+K640</f>
        <v>82502852.813593268</v>
      </c>
      <c r="L641" s="98">
        <f t="shared" ref="L641:AJ641" si="597">L639+L640</f>
        <v>0</v>
      </c>
      <c r="M641" s="98">
        <f t="shared" si="597"/>
        <v>0</v>
      </c>
      <c r="N641" s="98">
        <f t="shared" si="597"/>
        <v>0</v>
      </c>
      <c r="O641" s="98">
        <f t="shared" si="597"/>
        <v>0</v>
      </c>
      <c r="P641" s="98">
        <f t="shared" si="597"/>
        <v>0</v>
      </c>
      <c r="Q641" s="98">
        <f t="shared" si="597"/>
        <v>0</v>
      </c>
      <c r="R641" s="98">
        <f t="shared" si="597"/>
        <v>0</v>
      </c>
      <c r="S641" s="98">
        <f t="shared" si="597"/>
        <v>0</v>
      </c>
      <c r="T641" s="98">
        <f t="shared" si="597"/>
        <v>0</v>
      </c>
      <c r="U641" s="98">
        <f t="shared" si="597"/>
        <v>0</v>
      </c>
      <c r="V641" s="98">
        <f t="shared" si="597"/>
        <v>0</v>
      </c>
      <c r="W641" s="98">
        <f t="shared" si="597"/>
        <v>0</v>
      </c>
      <c r="X641" s="98">
        <f t="shared" si="597"/>
        <v>0</v>
      </c>
      <c r="Y641" s="98">
        <f t="shared" si="597"/>
        <v>0</v>
      </c>
      <c r="Z641" s="98">
        <f t="shared" si="597"/>
        <v>0</v>
      </c>
      <c r="AA641" s="98">
        <f t="shared" si="597"/>
        <v>0</v>
      </c>
      <c r="AB641" s="98">
        <f t="shared" si="597"/>
        <v>0</v>
      </c>
      <c r="AC641" s="98">
        <f t="shared" si="597"/>
        <v>0</v>
      </c>
      <c r="AD641" s="98">
        <f t="shared" si="597"/>
        <v>0</v>
      </c>
      <c r="AE641" s="98">
        <f t="shared" si="597"/>
        <v>0</v>
      </c>
      <c r="AF641" s="98">
        <f t="shared" si="597"/>
        <v>0</v>
      </c>
      <c r="AG641" s="98">
        <f t="shared" si="597"/>
        <v>0</v>
      </c>
      <c r="AH641" s="98">
        <f t="shared" si="597"/>
        <v>0</v>
      </c>
      <c r="AI641" s="98">
        <f t="shared" si="597"/>
        <v>0</v>
      </c>
      <c r="AJ641" s="98">
        <f t="shared" si="597"/>
        <v>0</v>
      </c>
      <c r="AK641" s="98">
        <f>SUM(H641:AJ641)</f>
        <v>90060700.788345426</v>
      </c>
      <c r="AL641" s="95" t="str">
        <f>IF(ABS(AK641-F641)&lt;1,"ok","err")</f>
        <v>ok</v>
      </c>
    </row>
    <row r="642" spans="1:38" x14ac:dyDescent="0.25">
      <c r="Y642" s="94"/>
      <c r="AL642" s="95"/>
    </row>
    <row r="643" spans="1:38" x14ac:dyDescent="0.25">
      <c r="A643" s="94" t="s">
        <v>881</v>
      </c>
      <c r="C643" s="94" t="s">
        <v>1324</v>
      </c>
      <c r="F643" s="114">
        <v>1</v>
      </c>
      <c r="H643" s="98">
        <v>0</v>
      </c>
      <c r="I643" s="98">
        <v>0</v>
      </c>
      <c r="J643" s="98">
        <v>0</v>
      </c>
      <c r="K643" s="115">
        <v>1</v>
      </c>
      <c r="L643" s="98">
        <v>0</v>
      </c>
      <c r="M643" s="115">
        <v>0</v>
      </c>
      <c r="O643" s="98">
        <v>0</v>
      </c>
      <c r="P643" s="98">
        <v>0</v>
      </c>
      <c r="Q643" s="98">
        <v>0</v>
      </c>
      <c r="S643" s="98">
        <v>0</v>
      </c>
      <c r="T643" s="98">
        <v>0</v>
      </c>
      <c r="U643" s="98">
        <v>0</v>
      </c>
      <c r="V643" s="98">
        <v>0</v>
      </c>
      <c r="W643" s="98">
        <v>0</v>
      </c>
      <c r="X643" s="98">
        <v>0</v>
      </c>
      <c r="Y643" s="98">
        <v>0</v>
      </c>
      <c r="Z643" s="98">
        <v>0</v>
      </c>
      <c r="AA643" s="98">
        <v>0</v>
      </c>
      <c r="AB643" s="98">
        <v>0</v>
      </c>
      <c r="AC643" s="98">
        <v>0</v>
      </c>
      <c r="AD643" s="98">
        <v>0</v>
      </c>
      <c r="AF643" s="114">
        <v>0</v>
      </c>
      <c r="AH643" s="98">
        <v>0</v>
      </c>
      <c r="AJ643" s="98">
        <v>0</v>
      </c>
      <c r="AK643" s="112">
        <f>SUM(H643:AJ643)</f>
        <v>1</v>
      </c>
      <c r="AL643" s="95" t="str">
        <f>IF(ABS(AK643-F643)&lt;1,"ok","err")</f>
        <v>ok</v>
      </c>
    </row>
    <row r="644" spans="1:38" x14ac:dyDescent="0.25">
      <c r="A644" s="94" t="s">
        <v>1326</v>
      </c>
      <c r="C644" s="94" t="s">
        <v>1325</v>
      </c>
      <c r="F644" s="114">
        <v>1</v>
      </c>
      <c r="H644" s="98">
        <v>0</v>
      </c>
      <c r="I644" s="98">
        <v>0</v>
      </c>
      <c r="J644" s="98">
        <v>0</v>
      </c>
      <c r="K644" s="98">
        <v>0</v>
      </c>
      <c r="L644" s="98">
        <v>0</v>
      </c>
      <c r="M644" s="98">
        <v>0</v>
      </c>
      <c r="O644" s="98">
        <v>0</v>
      </c>
      <c r="P644" s="98">
        <v>0</v>
      </c>
      <c r="Q644" s="98">
        <v>0</v>
      </c>
      <c r="S644" s="98">
        <v>0</v>
      </c>
      <c r="T644" s="98">
        <v>0</v>
      </c>
      <c r="U644" s="98">
        <v>0</v>
      </c>
      <c r="V644" s="98">
        <v>0</v>
      </c>
      <c r="W644" s="98">
        <v>0</v>
      </c>
      <c r="X644" s="98">
        <v>0</v>
      </c>
      <c r="Y644" s="98">
        <v>0</v>
      </c>
      <c r="Z644" s="98">
        <v>0</v>
      </c>
      <c r="AA644" s="98">
        <v>0</v>
      </c>
      <c r="AB644" s="98">
        <v>0</v>
      </c>
      <c r="AC644" s="98">
        <v>0</v>
      </c>
      <c r="AD644" s="98">
        <v>0</v>
      </c>
      <c r="AF644" s="114">
        <v>1</v>
      </c>
      <c r="AH644" s="98">
        <v>0</v>
      </c>
      <c r="AJ644" s="98">
        <v>0</v>
      </c>
      <c r="AK644" s="112">
        <f>SUM(H644:AJ644)</f>
        <v>1</v>
      </c>
      <c r="AL644" s="95" t="str">
        <f>IF(ABS(AK644-F644)&lt;1,"ok","err")</f>
        <v>ok</v>
      </c>
    </row>
    <row r="645" spans="1:38" x14ac:dyDescent="0.25">
      <c r="A645" s="94" t="s">
        <v>1329</v>
      </c>
      <c r="C645" s="94" t="s">
        <v>1328</v>
      </c>
      <c r="F645" s="111">
        <v>1</v>
      </c>
      <c r="G645" s="111"/>
      <c r="H645" s="112">
        <v>0</v>
      </c>
      <c r="I645" s="112">
        <v>0</v>
      </c>
      <c r="J645" s="112">
        <v>0</v>
      </c>
      <c r="K645" s="112">
        <v>0</v>
      </c>
      <c r="L645" s="112">
        <v>0</v>
      </c>
      <c r="M645" s="112">
        <v>1</v>
      </c>
      <c r="N645" s="112"/>
      <c r="O645" s="112">
        <v>0</v>
      </c>
      <c r="P645" s="112">
        <v>0</v>
      </c>
      <c r="Q645" s="112">
        <v>0</v>
      </c>
      <c r="R645" s="111"/>
      <c r="S645" s="112">
        <v>0</v>
      </c>
      <c r="T645" s="112">
        <v>0</v>
      </c>
      <c r="U645" s="112">
        <v>0</v>
      </c>
      <c r="V645" s="112">
        <v>0</v>
      </c>
      <c r="W645" s="112">
        <v>0</v>
      </c>
      <c r="X645" s="112">
        <v>0</v>
      </c>
      <c r="Y645" s="112">
        <v>0</v>
      </c>
      <c r="Z645" s="111">
        <v>0</v>
      </c>
      <c r="AA645" s="111">
        <v>0</v>
      </c>
      <c r="AB645" s="111">
        <v>0</v>
      </c>
      <c r="AC645" s="111">
        <v>0</v>
      </c>
      <c r="AD645" s="111">
        <v>0</v>
      </c>
      <c r="AE645" s="111"/>
      <c r="AF645" s="111">
        <v>0</v>
      </c>
      <c r="AG645" s="111"/>
      <c r="AH645" s="111">
        <v>0</v>
      </c>
      <c r="AI645" s="111"/>
      <c r="AJ645" s="111">
        <v>0</v>
      </c>
      <c r="AK645" s="112">
        <f>SUM(H645:AJ645)</f>
        <v>1</v>
      </c>
      <c r="AL645" s="95" t="str">
        <f>IF(ABS(AK645-F645)&lt;0.0000001,"ok","err")</f>
        <v>ok</v>
      </c>
    </row>
    <row r="646" spans="1:38" x14ac:dyDescent="0.25">
      <c r="C646" s="94" t="s">
        <v>124</v>
      </c>
      <c r="F646" s="111">
        <v>1</v>
      </c>
      <c r="G646" s="111"/>
      <c r="H646" s="112">
        <v>0</v>
      </c>
      <c r="I646" s="112">
        <v>0</v>
      </c>
      <c r="J646" s="112">
        <v>0</v>
      </c>
      <c r="K646" s="112">
        <v>1</v>
      </c>
      <c r="L646" s="112">
        <v>0</v>
      </c>
      <c r="M646" s="112">
        <v>0</v>
      </c>
      <c r="N646" s="112"/>
      <c r="O646" s="112">
        <v>0</v>
      </c>
      <c r="P646" s="112">
        <v>0</v>
      </c>
      <c r="Q646" s="112">
        <v>0</v>
      </c>
      <c r="R646" s="111"/>
      <c r="S646" s="112">
        <v>0</v>
      </c>
      <c r="T646" s="112">
        <v>0</v>
      </c>
      <c r="U646" s="112">
        <v>0</v>
      </c>
      <c r="V646" s="112">
        <v>0</v>
      </c>
      <c r="W646" s="112">
        <v>0</v>
      </c>
      <c r="X646" s="112">
        <v>0</v>
      </c>
      <c r="Y646" s="112">
        <v>0</v>
      </c>
      <c r="Z646" s="111">
        <v>0</v>
      </c>
      <c r="AA646" s="111">
        <v>0</v>
      </c>
      <c r="AB646" s="111">
        <v>0</v>
      </c>
      <c r="AC646" s="111">
        <v>0</v>
      </c>
      <c r="AD646" s="111">
        <v>0</v>
      </c>
      <c r="AE646" s="111"/>
      <c r="AF646" s="111">
        <v>0</v>
      </c>
      <c r="AG646" s="111"/>
      <c r="AH646" s="111">
        <v>0</v>
      </c>
      <c r="AI646" s="111"/>
      <c r="AJ646" s="111">
        <v>0</v>
      </c>
      <c r="AK646" s="112">
        <f>SUM(H646:AJ646)</f>
        <v>1</v>
      </c>
      <c r="AL646" s="95" t="str">
        <f>IF(ABS(AK646-F646)&lt;0.0000001,"ok","err")</f>
        <v>ok</v>
      </c>
    </row>
    <row r="647" spans="1:38" x14ac:dyDescent="0.25">
      <c r="A647" s="16" t="s">
        <v>540</v>
      </c>
      <c r="AL647" s="95"/>
    </row>
    <row r="648" spans="1:38" x14ac:dyDescent="0.25">
      <c r="A648" s="94" t="s">
        <v>225</v>
      </c>
      <c r="D648" s="94" t="s">
        <v>586</v>
      </c>
      <c r="F648" s="111">
        <v>1</v>
      </c>
      <c r="H648" s="115">
        <f>H47/$F$47</f>
        <v>0.22530814922742365</v>
      </c>
      <c r="I648" s="115">
        <f t="shared" ref="I648:AJ648" si="598">I47/$F$47</f>
        <v>0.21239297886455791</v>
      </c>
      <c r="J648" s="115">
        <f t="shared" si="598"/>
        <v>0.21812905552735243</v>
      </c>
      <c r="K648" s="115">
        <f t="shared" si="598"/>
        <v>0</v>
      </c>
      <c r="L648" s="115">
        <f t="shared" si="598"/>
        <v>0</v>
      </c>
      <c r="M648" s="115">
        <f t="shared" si="598"/>
        <v>0</v>
      </c>
      <c r="N648" s="115"/>
      <c r="O648" s="115">
        <f t="shared" si="598"/>
        <v>3.3636135516060622E-2</v>
      </c>
      <c r="P648" s="115">
        <f t="shared" si="598"/>
        <v>3.17080365013203E-2</v>
      </c>
      <c r="Q648" s="115">
        <f t="shared" si="598"/>
        <v>3.2564372380079476E-2</v>
      </c>
      <c r="R648" s="115"/>
      <c r="S648" s="115">
        <f t="shared" si="598"/>
        <v>0</v>
      </c>
      <c r="T648" s="115">
        <f t="shared" si="598"/>
        <v>2.6751735336356431E-2</v>
      </c>
      <c r="U648" s="115">
        <f t="shared" si="598"/>
        <v>0</v>
      </c>
      <c r="V648" s="115">
        <f t="shared" si="598"/>
        <v>4.3328068988622105E-2</v>
      </c>
      <c r="W648" s="115">
        <f t="shared" si="598"/>
        <v>6.2015493801626374E-2</v>
      </c>
      <c r="X648" s="115">
        <f t="shared" si="598"/>
        <v>7.6461298215215485E-3</v>
      </c>
      <c r="Y648" s="115">
        <f t="shared" si="598"/>
        <v>1.0943910670875244E-2</v>
      </c>
      <c r="Z648" s="115">
        <f t="shared" si="598"/>
        <v>2.691237792432908E-2</v>
      </c>
      <c r="AA648" s="115">
        <f t="shared" si="598"/>
        <v>2.3027087513282869E-2</v>
      </c>
      <c r="AB648" s="115">
        <f t="shared" si="598"/>
        <v>1.5436548313920646E-2</v>
      </c>
      <c r="AC648" s="115">
        <f t="shared" si="598"/>
        <v>1.2233001612375977E-2</v>
      </c>
      <c r="AD648" s="115">
        <f t="shared" si="598"/>
        <v>1.7966918000295318E-2</v>
      </c>
      <c r="AE648" s="115"/>
      <c r="AF648" s="115">
        <f t="shared" si="598"/>
        <v>0</v>
      </c>
      <c r="AG648" s="115"/>
      <c r="AH648" s="115">
        <f t="shared" si="598"/>
        <v>0</v>
      </c>
      <c r="AI648" s="115"/>
      <c r="AJ648" s="115">
        <f t="shared" si="598"/>
        <v>0</v>
      </c>
      <c r="AK648" s="112">
        <f t="shared" ref="AK648:AK666" si="599">SUM(H648:AJ648)</f>
        <v>0.99999999999999978</v>
      </c>
      <c r="AL648" s="95" t="str">
        <f t="shared" ref="AL648:AL666" si="600">IF(ABS(AK648-F648)&lt;0.0000001,"ok","err")</f>
        <v>ok</v>
      </c>
    </row>
    <row r="649" spans="1:38" x14ac:dyDescent="0.25">
      <c r="A649" s="94" t="s">
        <v>200</v>
      </c>
      <c r="D649" s="94" t="s">
        <v>129</v>
      </c>
      <c r="F649" s="111">
        <v>1</v>
      </c>
      <c r="H649" s="115">
        <f>H45/$F$45</f>
        <v>0</v>
      </c>
      <c r="I649" s="115">
        <f t="shared" ref="I649:AJ649" si="601">I45/$F$45</f>
        <v>0</v>
      </c>
      <c r="J649" s="115">
        <f t="shared" si="601"/>
        <v>0</v>
      </c>
      <c r="K649" s="115">
        <f t="shared" si="601"/>
        <v>0</v>
      </c>
      <c r="L649" s="115">
        <f t="shared" si="601"/>
        <v>0</v>
      </c>
      <c r="M649" s="115">
        <f t="shared" si="601"/>
        <v>0</v>
      </c>
      <c r="N649" s="115"/>
      <c r="O649" s="115">
        <f t="shared" si="601"/>
        <v>0</v>
      </c>
      <c r="P649" s="115">
        <f t="shared" si="601"/>
        <v>0</v>
      </c>
      <c r="Q649" s="115">
        <f t="shared" si="601"/>
        <v>0</v>
      </c>
      <c r="R649" s="115"/>
      <c r="S649" s="115">
        <f t="shared" si="601"/>
        <v>0</v>
      </c>
      <c r="T649" s="115">
        <f t="shared" si="601"/>
        <v>0.10863151611667475</v>
      </c>
      <c r="U649" s="115">
        <f t="shared" si="601"/>
        <v>0</v>
      </c>
      <c r="V649" s="115">
        <f t="shared" si="601"/>
        <v>0.17594349545785243</v>
      </c>
      <c r="W649" s="115">
        <f t="shared" si="601"/>
        <v>0.25182804142202131</v>
      </c>
      <c r="X649" s="115">
        <f t="shared" si="601"/>
        <v>3.1048852139621014E-2</v>
      </c>
      <c r="Y649" s="115">
        <f t="shared" si="601"/>
        <v>4.444024260388612E-2</v>
      </c>
      <c r="Z649" s="115">
        <f t="shared" si="601"/>
        <v>0.10928384194395142</v>
      </c>
      <c r="AA649" s="115">
        <f t="shared" si="601"/>
        <v>9.3506735053546106E-2</v>
      </c>
      <c r="AB649" s="115">
        <f t="shared" si="601"/>
        <v>6.2683621300280518E-2</v>
      </c>
      <c r="AC649" s="115">
        <f t="shared" si="601"/>
        <v>4.9674890062332791E-2</v>
      </c>
      <c r="AD649" s="115">
        <f t="shared" si="601"/>
        <v>7.2958763899833232E-2</v>
      </c>
      <c r="AE649" s="115"/>
      <c r="AF649" s="115">
        <f t="shared" si="601"/>
        <v>0</v>
      </c>
      <c r="AG649" s="115"/>
      <c r="AH649" s="115">
        <f t="shared" si="601"/>
        <v>0</v>
      </c>
      <c r="AI649" s="115"/>
      <c r="AJ649" s="115">
        <f t="shared" si="601"/>
        <v>0</v>
      </c>
      <c r="AK649" s="112">
        <f t="shared" si="599"/>
        <v>0.99999999999999978</v>
      </c>
      <c r="AL649" s="95" t="str">
        <f t="shared" si="600"/>
        <v>ok</v>
      </c>
    </row>
    <row r="650" spans="1:38" x14ac:dyDescent="0.25">
      <c r="A650" s="94" t="s">
        <v>556</v>
      </c>
      <c r="D650" s="94" t="s">
        <v>584</v>
      </c>
      <c r="F650" s="111">
        <v>1</v>
      </c>
      <c r="H650" s="115">
        <f>H32/$F$32</f>
        <v>0</v>
      </c>
      <c r="I650" s="115">
        <f t="shared" ref="I650:AJ650" si="602">I32/$F$32</f>
        <v>0</v>
      </c>
      <c r="J650" s="115">
        <f t="shared" si="602"/>
        <v>0</v>
      </c>
      <c r="K650" s="115">
        <f t="shared" si="602"/>
        <v>0</v>
      </c>
      <c r="L650" s="115">
        <f t="shared" si="602"/>
        <v>0</v>
      </c>
      <c r="M650" s="115">
        <f t="shared" si="602"/>
        <v>0</v>
      </c>
      <c r="N650" s="115"/>
      <c r="O650" s="115">
        <f t="shared" si="602"/>
        <v>0.34354647720544695</v>
      </c>
      <c r="P650" s="115">
        <f t="shared" si="602"/>
        <v>0.32385361968615639</v>
      </c>
      <c r="Q650" s="115">
        <f t="shared" si="602"/>
        <v>0.3325999031083966</v>
      </c>
      <c r="R650" s="115"/>
      <c r="S650" s="115">
        <f t="shared" si="602"/>
        <v>0</v>
      </c>
      <c r="T650" s="115">
        <f t="shared" si="602"/>
        <v>0</v>
      </c>
      <c r="U650" s="115">
        <f t="shared" si="602"/>
        <v>0</v>
      </c>
      <c r="V650" s="115">
        <f t="shared" si="602"/>
        <v>0</v>
      </c>
      <c r="W650" s="115">
        <f t="shared" si="602"/>
        <v>0</v>
      </c>
      <c r="X650" s="115">
        <f t="shared" si="602"/>
        <v>0</v>
      </c>
      <c r="Y650" s="115">
        <f t="shared" si="602"/>
        <v>0</v>
      </c>
      <c r="Z650" s="115">
        <f t="shared" si="602"/>
        <v>0</v>
      </c>
      <c r="AA650" s="115">
        <f t="shared" si="602"/>
        <v>0</v>
      </c>
      <c r="AB650" s="115">
        <f t="shared" si="602"/>
        <v>0</v>
      </c>
      <c r="AC650" s="115">
        <f t="shared" si="602"/>
        <v>0</v>
      </c>
      <c r="AD650" s="115">
        <f t="shared" si="602"/>
        <v>0</v>
      </c>
      <c r="AE650" s="115"/>
      <c r="AF650" s="115">
        <f t="shared" si="602"/>
        <v>0</v>
      </c>
      <c r="AG650" s="115"/>
      <c r="AH650" s="115">
        <f t="shared" si="602"/>
        <v>0</v>
      </c>
      <c r="AI650" s="115"/>
      <c r="AJ650" s="115">
        <f t="shared" si="602"/>
        <v>0</v>
      </c>
      <c r="AK650" s="112">
        <f t="shared" si="599"/>
        <v>1</v>
      </c>
      <c r="AL650" s="95" t="str">
        <f t="shared" si="600"/>
        <v>ok</v>
      </c>
    </row>
    <row r="651" spans="1:38" x14ac:dyDescent="0.25">
      <c r="A651" s="94" t="s">
        <v>1699</v>
      </c>
      <c r="D651" s="94" t="s">
        <v>947</v>
      </c>
      <c r="F651" s="111">
        <v>1</v>
      </c>
      <c r="H651" s="115">
        <f>H330/$F$330</f>
        <v>3.7128813648193794E-2</v>
      </c>
      <c r="I651" s="115">
        <f t="shared" ref="I651:AJ651" si="603">I330/$F$330</f>
        <v>3.5000506459653136E-2</v>
      </c>
      <c r="J651" s="115">
        <f t="shared" si="603"/>
        <v>3.5945761756520707E-2</v>
      </c>
      <c r="K651" s="115">
        <f t="shared" si="603"/>
        <v>0.68870761920834644</v>
      </c>
      <c r="L651" s="115">
        <f t="shared" si="603"/>
        <v>0</v>
      </c>
      <c r="M651" s="115">
        <f t="shared" si="603"/>
        <v>0</v>
      </c>
      <c r="N651" s="115"/>
      <c r="O651" s="115">
        <f t="shared" si="603"/>
        <v>1.3294927612868913E-2</v>
      </c>
      <c r="P651" s="115">
        <f t="shared" si="603"/>
        <v>1.2532832430466739E-2</v>
      </c>
      <c r="Q651" s="115">
        <f t="shared" si="603"/>
        <v>1.2871305425230651E-2</v>
      </c>
      <c r="R651" s="115"/>
      <c r="S651" s="115">
        <f t="shared" si="603"/>
        <v>0</v>
      </c>
      <c r="T651" s="115">
        <f t="shared" si="603"/>
        <v>7.8557401897827676E-3</v>
      </c>
      <c r="U651" s="115">
        <f t="shared" si="603"/>
        <v>0</v>
      </c>
      <c r="V651" s="115">
        <f t="shared" si="603"/>
        <v>2.3386653143141149E-2</v>
      </c>
      <c r="W651" s="115">
        <f t="shared" si="603"/>
        <v>2.9923251682741903E-2</v>
      </c>
      <c r="X651" s="115">
        <f t="shared" si="603"/>
        <v>4.1270564370249081E-3</v>
      </c>
      <c r="Y651" s="115">
        <f t="shared" si="603"/>
        <v>5.2805738263662187E-3</v>
      </c>
      <c r="Z651" s="115">
        <f t="shared" si="603"/>
        <v>4.054886076708431E-3</v>
      </c>
      <c r="AA651" s="115">
        <f t="shared" si="603"/>
        <v>3.4694896455191256E-3</v>
      </c>
      <c r="AB651" s="115">
        <f t="shared" si="603"/>
        <v>2.2500823284987599E-3</v>
      </c>
      <c r="AC651" s="115">
        <f t="shared" si="603"/>
        <v>1.236635827562549E-2</v>
      </c>
      <c r="AD651" s="115">
        <f t="shared" si="603"/>
        <v>2.5563163518361491E-3</v>
      </c>
      <c r="AE651" s="115"/>
      <c r="AF651" s="115">
        <f t="shared" si="603"/>
        <v>4.8623019826280027E-2</v>
      </c>
      <c r="AG651" s="115"/>
      <c r="AH651" s="115">
        <f t="shared" si="603"/>
        <v>2.0624805675194854E-2</v>
      </c>
      <c r="AI651" s="115"/>
      <c r="AJ651" s="115">
        <f t="shared" si="603"/>
        <v>0</v>
      </c>
      <c r="AK651" s="112">
        <f t="shared" si="599"/>
        <v>1.0000000000000002</v>
      </c>
      <c r="AL651" s="95" t="str">
        <f t="shared" si="600"/>
        <v>ok</v>
      </c>
    </row>
    <row r="652" spans="1:38" x14ac:dyDescent="0.25">
      <c r="A652" s="94" t="s">
        <v>204</v>
      </c>
      <c r="D652" s="94" t="s">
        <v>205</v>
      </c>
      <c r="F652" s="111">
        <v>1</v>
      </c>
      <c r="H652" s="115">
        <f>H65/$F$65</f>
        <v>0.22524797929874338</v>
      </c>
      <c r="I652" s="115">
        <f t="shared" ref="I652:AJ652" si="604">I65/$F$65</f>
        <v>0.21233625801165354</v>
      </c>
      <c r="J652" s="115">
        <f t="shared" si="604"/>
        <v>0.218070802819853</v>
      </c>
      <c r="K652" s="115">
        <f t="shared" si="604"/>
        <v>0</v>
      </c>
      <c r="L652" s="115">
        <f t="shared" si="604"/>
        <v>0</v>
      </c>
      <c r="M652" s="115">
        <f t="shared" si="604"/>
        <v>0</v>
      </c>
      <c r="N652" s="115"/>
      <c r="O652" s="115">
        <f t="shared" si="604"/>
        <v>3.3627152778942501E-2</v>
      </c>
      <c r="P652" s="115">
        <f t="shared" si="604"/>
        <v>3.1699568674917127E-2</v>
      </c>
      <c r="Q652" s="115">
        <f t="shared" si="604"/>
        <v>3.255567586390664E-2</v>
      </c>
      <c r="R652" s="115"/>
      <c r="S652" s="115">
        <f t="shared" si="604"/>
        <v>0</v>
      </c>
      <c r="T652" s="115">
        <f t="shared" si="604"/>
        <v>2.6773601836022776E-2</v>
      </c>
      <c r="U652" s="115">
        <f t="shared" si="604"/>
        <v>0</v>
      </c>
      <c r="V652" s="115">
        <f t="shared" si="604"/>
        <v>4.3363484754895612E-2</v>
      </c>
      <c r="W652" s="115">
        <f t="shared" si="604"/>
        <v>6.2066184411318476E-2</v>
      </c>
      <c r="X652" s="115">
        <f t="shared" si="604"/>
        <v>7.6523796626286359E-3</v>
      </c>
      <c r="Y652" s="115">
        <f t="shared" si="604"/>
        <v>1.0952856072585615E-2</v>
      </c>
      <c r="Z652" s="115">
        <f t="shared" si="604"/>
        <v>2.6934375731032224E-2</v>
      </c>
      <c r="AA652" s="115">
        <f t="shared" si="604"/>
        <v>2.3045909537166374E-2</v>
      </c>
      <c r="AB652" s="115">
        <f t="shared" si="604"/>
        <v>1.5449165935705247E-2</v>
      </c>
      <c r="AC652" s="115">
        <f t="shared" si="604"/>
        <v>1.2243000699250607E-2</v>
      </c>
      <c r="AD652" s="115">
        <f t="shared" si="604"/>
        <v>1.7981603911378059E-2</v>
      </c>
      <c r="AE652" s="115"/>
      <c r="AF652" s="115">
        <f t="shared" si="604"/>
        <v>0</v>
      </c>
      <c r="AG652" s="115"/>
      <c r="AH652" s="115">
        <f t="shared" si="604"/>
        <v>0</v>
      </c>
      <c r="AI652" s="115"/>
      <c r="AJ652" s="115">
        <f t="shared" si="604"/>
        <v>0</v>
      </c>
      <c r="AK652" s="112">
        <f t="shared" si="599"/>
        <v>0.99999999999999956</v>
      </c>
      <c r="AL652" s="95" t="str">
        <f t="shared" si="600"/>
        <v>ok</v>
      </c>
    </row>
    <row r="653" spans="1:38" x14ac:dyDescent="0.25">
      <c r="A653" s="94" t="s">
        <v>541</v>
      </c>
      <c r="D653" s="94" t="s">
        <v>1309</v>
      </c>
      <c r="F653" s="111">
        <v>1</v>
      </c>
      <c r="H653" s="115">
        <f>H536/$F$536</f>
        <v>0.10442905907845527</v>
      </c>
      <c r="I653" s="115">
        <f t="shared" ref="I653:AJ653" si="605">I536/$F$536</f>
        <v>9.8442950304952204E-2</v>
      </c>
      <c r="J653" s="115">
        <f t="shared" si="605"/>
        <v>0.10110158955413835</v>
      </c>
      <c r="K653" s="115">
        <f t="shared" si="605"/>
        <v>0.23757913238561049</v>
      </c>
      <c r="L653" s="115">
        <f t="shared" si="605"/>
        <v>0</v>
      </c>
      <c r="M653" s="115">
        <f t="shared" si="605"/>
        <v>0</v>
      </c>
      <c r="N653" s="115"/>
      <c r="O653" s="115">
        <f t="shared" si="605"/>
        <v>2.1238065473088225E-2</v>
      </c>
      <c r="P653" s="115">
        <f t="shared" si="605"/>
        <v>2.0020651745696758E-2</v>
      </c>
      <c r="Q653" s="115">
        <f t="shared" si="605"/>
        <v>2.0561347553375318E-2</v>
      </c>
      <c r="R653" s="115"/>
      <c r="S653" s="115">
        <f t="shared" si="605"/>
        <v>0</v>
      </c>
      <c r="T653" s="115">
        <f t="shared" si="605"/>
        <v>2.5891811986442404E-2</v>
      </c>
      <c r="U653" s="115">
        <f t="shared" si="605"/>
        <v>0</v>
      </c>
      <c r="V653" s="115">
        <f t="shared" si="605"/>
        <v>4.1935306322516998E-2</v>
      </c>
      <c r="W653" s="115">
        <f t="shared" si="605"/>
        <v>6.0022031676423913E-2</v>
      </c>
      <c r="X653" s="115">
        <f t="shared" si="605"/>
        <v>7.4003481745618244E-3</v>
      </c>
      <c r="Y653" s="115">
        <f t="shared" si="605"/>
        <v>1.0592123237015985E-2</v>
      </c>
      <c r="Z653" s="115">
        <f t="shared" si="605"/>
        <v>2.6047290785574766E-2</v>
      </c>
      <c r="AA653" s="115">
        <f t="shared" si="605"/>
        <v>2.2286891410704255E-2</v>
      </c>
      <c r="AB653" s="115">
        <f t="shared" si="605"/>
        <v>1.494034692098984E-2</v>
      </c>
      <c r="AC653" s="115">
        <f t="shared" si="605"/>
        <v>1.183977688905413E-2</v>
      </c>
      <c r="AD653" s="115">
        <f t="shared" si="605"/>
        <v>1.7389378931513964E-2</v>
      </c>
      <c r="AE653" s="115"/>
      <c r="AF653" s="115">
        <f t="shared" si="605"/>
        <v>0.14010441490000095</v>
      </c>
      <c r="AG653" s="115"/>
      <c r="AH653" s="115">
        <f t="shared" si="605"/>
        <v>1.8177482669884479E-2</v>
      </c>
      <c r="AI653" s="115"/>
      <c r="AJ653" s="115">
        <f t="shared" si="605"/>
        <v>0</v>
      </c>
      <c r="AK653" s="112">
        <f t="shared" si="599"/>
        <v>1.0000000000000002</v>
      </c>
      <c r="AL653" s="95" t="str">
        <f t="shared" si="600"/>
        <v>ok</v>
      </c>
    </row>
    <row r="654" spans="1:38" x14ac:dyDescent="0.25">
      <c r="A654" s="94" t="s">
        <v>1987</v>
      </c>
      <c r="D654" s="94" t="s">
        <v>1698</v>
      </c>
      <c r="F654" s="111">
        <v>1</v>
      </c>
      <c r="H654" s="115">
        <f>H303/$F$303</f>
        <v>2.5401008650441984E-2</v>
      </c>
      <c r="I654" s="115">
        <f t="shared" ref="I654:AJ654" si="606">I303/$F$303</f>
        <v>2.3944965647852021E-2</v>
      </c>
      <c r="J654" s="115">
        <f t="shared" si="606"/>
        <v>2.4591645021992962E-2</v>
      </c>
      <c r="K654" s="115">
        <f t="shared" si="606"/>
        <v>0.77528717940987646</v>
      </c>
      <c r="L654" s="115">
        <f t="shared" si="606"/>
        <v>0</v>
      </c>
      <c r="M654" s="115">
        <f t="shared" si="606"/>
        <v>0</v>
      </c>
      <c r="N654" s="115"/>
      <c r="O654" s="115">
        <f t="shared" si="606"/>
        <v>1.0500656494724946E-2</v>
      </c>
      <c r="P654" s="115">
        <f t="shared" si="606"/>
        <v>9.8987352237175051E-3</v>
      </c>
      <c r="Q654" s="115">
        <f t="shared" si="606"/>
        <v>1.0166069409675491E-2</v>
      </c>
      <c r="R654" s="115"/>
      <c r="S654" s="115">
        <f t="shared" si="606"/>
        <v>0</v>
      </c>
      <c r="T654" s="115">
        <f t="shared" si="606"/>
        <v>4.7284370471739031E-3</v>
      </c>
      <c r="U654" s="115">
        <f t="shared" si="606"/>
        <v>0</v>
      </c>
      <c r="V654" s="115">
        <f t="shared" si="606"/>
        <v>1.8362930583113706E-2</v>
      </c>
      <c r="W654" s="115">
        <f t="shared" si="606"/>
        <v>2.2719021153467876E-2</v>
      </c>
      <c r="X654" s="115">
        <f t="shared" si="606"/>
        <v>3.2405171617259478E-3</v>
      </c>
      <c r="Y654" s="115">
        <f t="shared" si="606"/>
        <v>4.0092390270825666E-3</v>
      </c>
      <c r="Z654" s="115">
        <f t="shared" si="606"/>
        <v>8.9387462452681396E-4</v>
      </c>
      <c r="AA654" s="115">
        <f t="shared" si="606"/>
        <v>7.6482759207517875E-4</v>
      </c>
      <c r="AB654" s="115">
        <f t="shared" si="606"/>
        <v>4.3667831205425204E-4</v>
      </c>
      <c r="AC654" s="115">
        <f t="shared" si="606"/>
        <v>1.0970349333960251E-2</v>
      </c>
      <c r="AD654" s="115">
        <f t="shared" si="606"/>
        <v>4.4541502285938935E-4</v>
      </c>
      <c r="AE654" s="115"/>
      <c r="AF654" s="115">
        <f t="shared" si="606"/>
        <v>3.4757099785251135E-2</v>
      </c>
      <c r="AG654" s="115"/>
      <c r="AH654" s="115">
        <f t="shared" si="606"/>
        <v>1.8881350498427776E-2</v>
      </c>
      <c r="AI654" s="115"/>
      <c r="AJ654" s="115">
        <f t="shared" si="606"/>
        <v>0</v>
      </c>
      <c r="AK654" s="112">
        <f t="shared" si="599"/>
        <v>1.0000000000000002</v>
      </c>
      <c r="AL654" s="95" t="str">
        <f t="shared" si="600"/>
        <v>ok</v>
      </c>
    </row>
    <row r="655" spans="1:38" x14ac:dyDescent="0.25">
      <c r="A655" s="94" t="s">
        <v>542</v>
      </c>
      <c r="D655" s="94" t="s">
        <v>883</v>
      </c>
      <c r="F655" s="111">
        <v>1</v>
      </c>
      <c r="H655" s="115">
        <f>H366/$F$366</f>
        <v>0.28478412867399727</v>
      </c>
      <c r="I655" s="115">
        <f t="shared" ref="I655:AJ655" si="607">I366/$F$366</f>
        <v>0.26845966126757254</v>
      </c>
      <c r="J655" s="115">
        <f t="shared" si="607"/>
        <v>0.27570992540592071</v>
      </c>
      <c r="K655" s="115">
        <f t="shared" si="607"/>
        <v>0.17104628465250954</v>
      </c>
      <c r="L655" s="115">
        <f t="shared" si="607"/>
        <v>0</v>
      </c>
      <c r="M655" s="115">
        <f t="shared" si="607"/>
        <v>0</v>
      </c>
      <c r="N655" s="115"/>
      <c r="O655" s="115">
        <f t="shared" si="607"/>
        <v>0</v>
      </c>
      <c r="P655" s="115">
        <f t="shared" si="607"/>
        <v>0</v>
      </c>
      <c r="Q655" s="115">
        <f t="shared" si="607"/>
        <v>0</v>
      </c>
      <c r="R655" s="115"/>
      <c r="S655" s="115">
        <f t="shared" si="607"/>
        <v>0</v>
      </c>
      <c r="T655" s="115">
        <f t="shared" si="607"/>
        <v>0</v>
      </c>
      <c r="U655" s="115">
        <f t="shared" si="607"/>
        <v>0</v>
      </c>
      <c r="V655" s="115">
        <f t="shared" si="607"/>
        <v>0</v>
      </c>
      <c r="W655" s="115">
        <f t="shared" si="607"/>
        <v>0</v>
      </c>
      <c r="X655" s="115">
        <f t="shared" si="607"/>
        <v>0</v>
      </c>
      <c r="Y655" s="115">
        <f t="shared" si="607"/>
        <v>0</v>
      </c>
      <c r="Z655" s="115">
        <f t="shared" si="607"/>
        <v>0</v>
      </c>
      <c r="AA655" s="115">
        <f t="shared" si="607"/>
        <v>0</v>
      </c>
      <c r="AB655" s="115">
        <f t="shared" si="607"/>
        <v>0</v>
      </c>
      <c r="AC655" s="115">
        <f t="shared" si="607"/>
        <v>0</v>
      </c>
      <c r="AD655" s="115">
        <f t="shared" si="607"/>
        <v>0</v>
      </c>
      <c r="AE655" s="115"/>
      <c r="AF655" s="115">
        <f t="shared" si="607"/>
        <v>0</v>
      </c>
      <c r="AG655" s="115"/>
      <c r="AH655" s="115">
        <f t="shared" si="607"/>
        <v>0</v>
      </c>
      <c r="AI655" s="115"/>
      <c r="AJ655" s="115">
        <f t="shared" si="607"/>
        <v>0</v>
      </c>
      <c r="AK655" s="112">
        <f t="shared" si="599"/>
        <v>1.0000000000000002</v>
      </c>
      <c r="AL655" s="95" t="str">
        <f t="shared" si="600"/>
        <v>ok</v>
      </c>
    </row>
    <row r="656" spans="1:38" x14ac:dyDescent="0.25">
      <c r="A656" s="94" t="s">
        <v>543</v>
      </c>
      <c r="D656" s="94" t="s">
        <v>1296</v>
      </c>
      <c r="F656" s="111">
        <v>1</v>
      </c>
      <c r="H656" s="115">
        <f>H375/$F$375</f>
        <v>3.0967784031266779E-2</v>
      </c>
      <c r="I656" s="115">
        <f t="shared" ref="I656:AJ656" si="608">I375/$F$375</f>
        <v>2.9192640931047471E-2</v>
      </c>
      <c r="J656" s="115">
        <f t="shared" si="608"/>
        <v>2.998104376463033E-2</v>
      </c>
      <c r="K656" s="115">
        <f t="shared" si="608"/>
        <v>0.90985853127305538</v>
      </c>
      <c r="L656" s="115">
        <f t="shared" si="608"/>
        <v>0</v>
      </c>
      <c r="M656" s="115">
        <f t="shared" si="608"/>
        <v>0</v>
      </c>
      <c r="N656" s="115"/>
      <c r="O656" s="115">
        <f t="shared" si="608"/>
        <v>0</v>
      </c>
      <c r="P656" s="115">
        <f t="shared" si="608"/>
        <v>0</v>
      </c>
      <c r="Q656" s="115">
        <f t="shared" si="608"/>
        <v>0</v>
      </c>
      <c r="R656" s="115"/>
      <c r="S656" s="115">
        <f t="shared" si="608"/>
        <v>0</v>
      </c>
      <c r="T656" s="115">
        <f t="shared" si="608"/>
        <v>0</v>
      </c>
      <c r="U656" s="115">
        <f t="shared" si="608"/>
        <v>0</v>
      </c>
      <c r="V656" s="115">
        <f t="shared" si="608"/>
        <v>0</v>
      </c>
      <c r="W656" s="115">
        <f t="shared" si="608"/>
        <v>0</v>
      </c>
      <c r="X656" s="115">
        <f t="shared" si="608"/>
        <v>0</v>
      </c>
      <c r="Y656" s="115">
        <f t="shared" si="608"/>
        <v>0</v>
      </c>
      <c r="Z656" s="115">
        <f t="shared" si="608"/>
        <v>0</v>
      </c>
      <c r="AA656" s="115">
        <f t="shared" si="608"/>
        <v>0</v>
      </c>
      <c r="AB656" s="115">
        <f t="shared" si="608"/>
        <v>0</v>
      </c>
      <c r="AC656" s="115">
        <f t="shared" si="608"/>
        <v>0</v>
      </c>
      <c r="AD656" s="115">
        <f t="shared" si="608"/>
        <v>0</v>
      </c>
      <c r="AE656" s="115"/>
      <c r="AF656" s="115">
        <f t="shared" si="608"/>
        <v>0</v>
      </c>
      <c r="AG656" s="115"/>
      <c r="AH656" s="115">
        <f t="shared" si="608"/>
        <v>0</v>
      </c>
      <c r="AI656" s="115"/>
      <c r="AJ656" s="115">
        <f t="shared" si="608"/>
        <v>0</v>
      </c>
      <c r="AK656" s="112">
        <f t="shared" si="599"/>
        <v>1</v>
      </c>
      <c r="AL656" s="95" t="str">
        <f t="shared" si="600"/>
        <v>ok</v>
      </c>
    </row>
    <row r="657" spans="1:38" x14ac:dyDescent="0.25">
      <c r="A657" s="94" t="s">
        <v>544</v>
      </c>
      <c r="D657" s="94" t="s">
        <v>886</v>
      </c>
      <c r="F657" s="111">
        <v>1</v>
      </c>
      <c r="H657" s="115">
        <f>H387/$F$387</f>
        <v>0.34354647720544701</v>
      </c>
      <c r="I657" s="115">
        <f t="shared" ref="I657:AJ657" si="609">I387/$F$387</f>
        <v>0.32385361968615639</v>
      </c>
      <c r="J657" s="115">
        <f t="shared" si="609"/>
        <v>0.3325999031083966</v>
      </c>
      <c r="K657" s="115">
        <f t="shared" si="609"/>
        <v>0</v>
      </c>
      <c r="L657" s="115">
        <f t="shared" si="609"/>
        <v>0</v>
      </c>
      <c r="M657" s="115">
        <f t="shared" si="609"/>
        <v>0</v>
      </c>
      <c r="N657" s="115"/>
      <c r="O657" s="115">
        <f t="shared" si="609"/>
        <v>0</v>
      </c>
      <c r="P657" s="115">
        <f t="shared" si="609"/>
        <v>0</v>
      </c>
      <c r="Q657" s="115">
        <f t="shared" si="609"/>
        <v>0</v>
      </c>
      <c r="R657" s="115"/>
      <c r="S657" s="115">
        <f t="shared" si="609"/>
        <v>0</v>
      </c>
      <c r="T657" s="115">
        <f t="shared" si="609"/>
        <v>0</v>
      </c>
      <c r="U657" s="115">
        <f t="shared" si="609"/>
        <v>0</v>
      </c>
      <c r="V657" s="115">
        <f t="shared" si="609"/>
        <v>0</v>
      </c>
      <c r="W657" s="115">
        <f t="shared" si="609"/>
        <v>0</v>
      </c>
      <c r="X657" s="115">
        <f t="shared" si="609"/>
        <v>0</v>
      </c>
      <c r="Y657" s="115">
        <f t="shared" si="609"/>
        <v>0</v>
      </c>
      <c r="Z657" s="115">
        <f t="shared" si="609"/>
        <v>0</v>
      </c>
      <c r="AA657" s="115">
        <f t="shared" si="609"/>
        <v>0</v>
      </c>
      <c r="AB657" s="115">
        <f t="shared" si="609"/>
        <v>0</v>
      </c>
      <c r="AC657" s="115">
        <f t="shared" si="609"/>
        <v>0</v>
      </c>
      <c r="AD657" s="115">
        <f t="shared" si="609"/>
        <v>0</v>
      </c>
      <c r="AE657" s="115"/>
      <c r="AF657" s="115">
        <f t="shared" si="609"/>
        <v>0</v>
      </c>
      <c r="AG657" s="115"/>
      <c r="AH657" s="115">
        <f t="shared" si="609"/>
        <v>0</v>
      </c>
      <c r="AI657" s="115"/>
      <c r="AJ657" s="115">
        <f t="shared" si="609"/>
        <v>0</v>
      </c>
      <c r="AK657" s="112">
        <f t="shared" si="599"/>
        <v>1</v>
      </c>
      <c r="AL657" s="95" t="str">
        <f t="shared" si="600"/>
        <v>ok</v>
      </c>
    </row>
    <row r="658" spans="1:38" x14ac:dyDescent="0.25">
      <c r="A658" s="94" t="s">
        <v>545</v>
      </c>
      <c r="D658" s="94" t="s">
        <v>887</v>
      </c>
      <c r="F658" s="111">
        <v>1</v>
      </c>
      <c r="H658" s="115">
        <f>H396/$F$396</f>
        <v>9.7256779431926579E-2</v>
      </c>
      <c r="I658" s="115">
        <f t="shared" ref="I658:AJ658" si="610">I396/$F$396</f>
        <v>9.1681801875126784E-2</v>
      </c>
      <c r="J658" s="115">
        <f t="shared" si="610"/>
        <v>9.4157843441803168E-2</v>
      </c>
      <c r="K658" s="115">
        <f t="shared" si="610"/>
        <v>0.71690357525114345</v>
      </c>
      <c r="L658" s="115">
        <f t="shared" si="610"/>
        <v>0</v>
      </c>
      <c r="M658" s="115">
        <f t="shared" si="610"/>
        <v>0</v>
      </c>
      <c r="N658" s="115"/>
      <c r="O658" s="115">
        <f t="shared" si="610"/>
        <v>0</v>
      </c>
      <c r="P658" s="115">
        <f t="shared" si="610"/>
        <v>0</v>
      </c>
      <c r="Q658" s="115">
        <f t="shared" si="610"/>
        <v>0</v>
      </c>
      <c r="R658" s="115"/>
      <c r="S658" s="115">
        <f t="shared" si="610"/>
        <v>0</v>
      </c>
      <c r="T658" s="115">
        <f t="shared" si="610"/>
        <v>0</v>
      </c>
      <c r="U658" s="115">
        <f t="shared" si="610"/>
        <v>0</v>
      </c>
      <c r="V658" s="115">
        <f t="shared" si="610"/>
        <v>0</v>
      </c>
      <c r="W658" s="115">
        <f t="shared" si="610"/>
        <v>0</v>
      </c>
      <c r="X658" s="115">
        <f t="shared" si="610"/>
        <v>0</v>
      </c>
      <c r="Y658" s="115">
        <f t="shared" si="610"/>
        <v>0</v>
      </c>
      <c r="Z658" s="115">
        <f t="shared" si="610"/>
        <v>0</v>
      </c>
      <c r="AA658" s="115">
        <f t="shared" si="610"/>
        <v>0</v>
      </c>
      <c r="AB658" s="115">
        <f t="shared" si="610"/>
        <v>0</v>
      </c>
      <c r="AC658" s="115">
        <f t="shared" si="610"/>
        <v>0</v>
      </c>
      <c r="AD658" s="115">
        <f t="shared" si="610"/>
        <v>0</v>
      </c>
      <c r="AE658" s="115"/>
      <c r="AF658" s="115">
        <f t="shared" si="610"/>
        <v>0</v>
      </c>
      <c r="AG658" s="115"/>
      <c r="AH658" s="115">
        <f t="shared" si="610"/>
        <v>0</v>
      </c>
      <c r="AI658" s="115"/>
      <c r="AJ658" s="115">
        <f t="shared" si="610"/>
        <v>0</v>
      </c>
      <c r="AK658" s="112">
        <f t="shared" si="599"/>
        <v>1</v>
      </c>
      <c r="AL658" s="95" t="str">
        <f t="shared" si="600"/>
        <v>ok</v>
      </c>
    </row>
    <row r="659" spans="1:38" x14ac:dyDescent="0.25">
      <c r="A659" s="94" t="s">
        <v>546</v>
      </c>
      <c r="D659" s="94" t="s">
        <v>888</v>
      </c>
      <c r="F659" s="111">
        <v>1</v>
      </c>
      <c r="H659" s="115">
        <f>H407/$F$407</f>
        <v>0.34354647720544695</v>
      </c>
      <c r="I659" s="115">
        <f t="shared" ref="I659:AJ659" si="611">I407/$F$407</f>
        <v>0.32385361968615634</v>
      </c>
      <c r="J659" s="115">
        <f t="shared" si="611"/>
        <v>0.3325999031083966</v>
      </c>
      <c r="K659" s="115">
        <f t="shared" si="611"/>
        <v>0</v>
      </c>
      <c r="L659" s="115">
        <f t="shared" si="611"/>
        <v>0</v>
      </c>
      <c r="M659" s="115">
        <f t="shared" si="611"/>
        <v>0</v>
      </c>
      <c r="N659" s="115"/>
      <c r="O659" s="115">
        <f t="shared" si="611"/>
        <v>0</v>
      </c>
      <c r="P659" s="115">
        <f t="shared" si="611"/>
        <v>0</v>
      </c>
      <c r="Q659" s="115">
        <f t="shared" si="611"/>
        <v>0</v>
      </c>
      <c r="R659" s="115"/>
      <c r="S659" s="115">
        <f t="shared" si="611"/>
        <v>0</v>
      </c>
      <c r="T659" s="115">
        <f t="shared" si="611"/>
        <v>0</v>
      </c>
      <c r="U659" s="115">
        <f t="shared" si="611"/>
        <v>0</v>
      </c>
      <c r="V659" s="115">
        <f t="shared" si="611"/>
        <v>0</v>
      </c>
      <c r="W659" s="115">
        <f t="shared" si="611"/>
        <v>0</v>
      </c>
      <c r="X659" s="115">
        <f t="shared" si="611"/>
        <v>0</v>
      </c>
      <c r="Y659" s="115">
        <f t="shared" si="611"/>
        <v>0</v>
      </c>
      <c r="Z659" s="115">
        <f t="shared" si="611"/>
        <v>0</v>
      </c>
      <c r="AA659" s="115">
        <f t="shared" si="611"/>
        <v>0</v>
      </c>
      <c r="AB659" s="115">
        <f t="shared" si="611"/>
        <v>0</v>
      </c>
      <c r="AC659" s="115">
        <f t="shared" si="611"/>
        <v>0</v>
      </c>
      <c r="AD659" s="115">
        <f t="shared" si="611"/>
        <v>0</v>
      </c>
      <c r="AE659" s="115"/>
      <c r="AF659" s="115">
        <f t="shared" si="611"/>
        <v>0</v>
      </c>
      <c r="AG659" s="115"/>
      <c r="AH659" s="115">
        <f t="shared" si="611"/>
        <v>0</v>
      </c>
      <c r="AI659" s="115"/>
      <c r="AJ659" s="115">
        <f t="shared" si="611"/>
        <v>0</v>
      </c>
      <c r="AK659" s="112">
        <f t="shared" si="599"/>
        <v>0.99999999999999989</v>
      </c>
      <c r="AL659" s="95" t="str">
        <f t="shared" si="600"/>
        <v>ok</v>
      </c>
    </row>
    <row r="660" spans="1:38" x14ac:dyDescent="0.25">
      <c r="A660" s="94" t="s">
        <v>1314</v>
      </c>
      <c r="D660" s="94" t="s">
        <v>889</v>
      </c>
      <c r="F660" s="111">
        <v>1</v>
      </c>
      <c r="H660" s="116">
        <f>H442/$F$442</f>
        <v>0</v>
      </c>
      <c r="I660" s="116">
        <f t="shared" ref="I660:AJ660" si="612">I442/$F$442</f>
        <v>0</v>
      </c>
      <c r="J660" s="116">
        <f t="shared" si="612"/>
        <v>0</v>
      </c>
      <c r="K660" s="116">
        <f t="shared" si="612"/>
        <v>0</v>
      </c>
      <c r="L660" s="116">
        <f t="shared" si="612"/>
        <v>0</v>
      </c>
      <c r="M660" s="116">
        <f t="shared" si="612"/>
        <v>0</v>
      </c>
      <c r="N660" s="116"/>
      <c r="O660" s="116">
        <f t="shared" si="612"/>
        <v>0.3435464772054469</v>
      </c>
      <c r="P660" s="116">
        <f t="shared" si="612"/>
        <v>0.32385361968615639</v>
      </c>
      <c r="Q660" s="116">
        <f t="shared" si="612"/>
        <v>0.3325999031083966</v>
      </c>
      <c r="R660" s="116"/>
      <c r="S660" s="116">
        <f t="shared" si="612"/>
        <v>0</v>
      </c>
      <c r="T660" s="116">
        <f t="shared" si="612"/>
        <v>0</v>
      </c>
      <c r="U660" s="116">
        <f t="shared" si="612"/>
        <v>0</v>
      </c>
      <c r="V660" s="116">
        <f t="shared" si="612"/>
        <v>0</v>
      </c>
      <c r="W660" s="116">
        <f t="shared" si="612"/>
        <v>0</v>
      </c>
      <c r="X660" s="116">
        <f t="shared" si="612"/>
        <v>0</v>
      </c>
      <c r="Y660" s="116">
        <f t="shared" si="612"/>
        <v>0</v>
      </c>
      <c r="Z660" s="116">
        <f t="shared" si="612"/>
        <v>0</v>
      </c>
      <c r="AA660" s="116">
        <f t="shared" si="612"/>
        <v>0</v>
      </c>
      <c r="AB660" s="116">
        <f t="shared" si="612"/>
        <v>0</v>
      </c>
      <c r="AC660" s="116">
        <f t="shared" si="612"/>
        <v>0</v>
      </c>
      <c r="AD660" s="116">
        <f t="shared" si="612"/>
        <v>0</v>
      </c>
      <c r="AE660" s="116"/>
      <c r="AF660" s="116">
        <f t="shared" si="612"/>
        <v>0</v>
      </c>
      <c r="AG660" s="116"/>
      <c r="AH660" s="116">
        <f t="shared" si="612"/>
        <v>0</v>
      </c>
      <c r="AI660" s="116"/>
      <c r="AJ660" s="116">
        <f t="shared" si="612"/>
        <v>0</v>
      </c>
      <c r="AK660" s="112">
        <f t="shared" si="599"/>
        <v>0.99999999999999989</v>
      </c>
      <c r="AL660" s="95" t="str">
        <f t="shared" si="600"/>
        <v>ok</v>
      </c>
    </row>
    <row r="661" spans="1:38" x14ac:dyDescent="0.25">
      <c r="A661" s="94" t="s">
        <v>1317</v>
      </c>
      <c r="D661" s="94" t="s">
        <v>1273</v>
      </c>
      <c r="F661" s="111">
        <v>1</v>
      </c>
      <c r="H661" s="115">
        <f>H457/$F$457</f>
        <v>0</v>
      </c>
      <c r="I661" s="115">
        <f t="shared" ref="I661:AJ661" si="613">I457/$F$457</f>
        <v>0</v>
      </c>
      <c r="J661" s="115">
        <f t="shared" si="613"/>
        <v>0</v>
      </c>
      <c r="K661" s="115">
        <f t="shared" si="613"/>
        <v>0</v>
      </c>
      <c r="L661" s="115">
        <f t="shared" si="613"/>
        <v>0</v>
      </c>
      <c r="M661" s="115">
        <f t="shared" si="613"/>
        <v>0</v>
      </c>
      <c r="N661" s="115"/>
      <c r="O661" s="115">
        <f t="shared" si="613"/>
        <v>0</v>
      </c>
      <c r="P661" s="115">
        <f t="shared" si="613"/>
        <v>0</v>
      </c>
      <c r="Q661" s="115">
        <f t="shared" si="613"/>
        <v>0</v>
      </c>
      <c r="R661" s="115"/>
      <c r="S661" s="115">
        <f t="shared" si="613"/>
        <v>0</v>
      </c>
      <c r="T661" s="115">
        <f t="shared" si="613"/>
        <v>0.17416447051556364</v>
      </c>
      <c r="U661" s="115">
        <f t="shared" si="613"/>
        <v>0</v>
      </c>
      <c r="V661" s="115">
        <f t="shared" si="613"/>
        <v>0.10844812656396589</v>
      </c>
      <c r="W661" s="115">
        <f t="shared" si="613"/>
        <v>0.14442886881569217</v>
      </c>
      <c r="X661" s="115">
        <f t="shared" si="613"/>
        <v>1.9137904687758684E-2</v>
      </c>
      <c r="Y661" s="115">
        <f t="shared" si="613"/>
        <v>2.5487447438063325E-2</v>
      </c>
      <c r="Z661" s="115">
        <f t="shared" si="613"/>
        <v>2.8339423390711944E-2</v>
      </c>
      <c r="AA661" s="115">
        <f t="shared" si="613"/>
        <v>2.4248113055218554E-2</v>
      </c>
      <c r="AB661" s="115">
        <f t="shared" si="613"/>
        <v>1.6255080825240142E-2</v>
      </c>
      <c r="AC661" s="115">
        <f t="shared" si="613"/>
        <v>0.4401610201909506</v>
      </c>
      <c r="AD661" s="115">
        <f t="shared" si="613"/>
        <v>1.9329544516835089E-2</v>
      </c>
      <c r="AE661" s="115"/>
      <c r="AF661" s="115">
        <f t="shared" si="613"/>
        <v>0</v>
      </c>
      <c r="AG661" s="115"/>
      <c r="AH661" s="115">
        <f t="shared" si="613"/>
        <v>0</v>
      </c>
      <c r="AI661" s="115"/>
      <c r="AJ661" s="115">
        <f t="shared" si="613"/>
        <v>0</v>
      </c>
      <c r="AK661" s="112">
        <f t="shared" si="599"/>
        <v>1</v>
      </c>
      <c r="AL661" s="95" t="str">
        <f t="shared" si="600"/>
        <v>ok</v>
      </c>
    </row>
    <row r="662" spans="1:38" x14ac:dyDescent="0.25">
      <c r="A662" s="94" t="s">
        <v>1319</v>
      </c>
      <c r="D662" s="94" t="s">
        <v>1282</v>
      </c>
      <c r="F662" s="111">
        <v>1</v>
      </c>
      <c r="H662" s="115">
        <f>H479/$F$479</f>
        <v>0</v>
      </c>
      <c r="I662" s="115">
        <f t="shared" ref="I662:AJ662" si="614">I479/$F$479</f>
        <v>0</v>
      </c>
      <c r="J662" s="115">
        <f t="shared" si="614"/>
        <v>0</v>
      </c>
      <c r="K662" s="115">
        <f t="shared" si="614"/>
        <v>0</v>
      </c>
      <c r="L662" s="115">
        <f t="shared" si="614"/>
        <v>0</v>
      </c>
      <c r="M662" s="115">
        <f t="shared" si="614"/>
        <v>0</v>
      </c>
      <c r="N662" s="115"/>
      <c r="O662" s="115">
        <f t="shared" si="614"/>
        <v>0</v>
      </c>
      <c r="P662" s="115">
        <f t="shared" si="614"/>
        <v>0</v>
      </c>
      <c r="Q662" s="115">
        <f t="shared" si="614"/>
        <v>0</v>
      </c>
      <c r="R662" s="115"/>
      <c r="S662" s="115">
        <f t="shared" si="614"/>
        <v>0</v>
      </c>
      <c r="T662" s="115">
        <f t="shared" si="614"/>
        <v>4.8993654373933077E-2</v>
      </c>
      <c r="U662" s="115">
        <f t="shared" si="614"/>
        <v>0</v>
      </c>
      <c r="V662" s="115">
        <f t="shared" si="614"/>
        <v>0.35750223386022523</v>
      </c>
      <c r="W662" s="115">
        <f t="shared" si="614"/>
        <v>0.43923287512159048</v>
      </c>
      <c r="X662" s="115">
        <f t="shared" si="614"/>
        <v>6.3088629504745641E-2</v>
      </c>
      <c r="Y662" s="115">
        <f t="shared" si="614"/>
        <v>7.7511683844986579E-2</v>
      </c>
      <c r="Z662" s="115">
        <f t="shared" si="614"/>
        <v>6.404186087015277E-3</v>
      </c>
      <c r="AA662" s="115">
        <f t="shared" si="614"/>
        <v>5.4796255422578282E-3</v>
      </c>
      <c r="AB662" s="115">
        <f t="shared" si="614"/>
        <v>6.0449103132412729E-4</v>
      </c>
      <c r="AC662" s="115">
        <f t="shared" si="614"/>
        <v>4.7904101425227979E-4</v>
      </c>
      <c r="AD662" s="115">
        <f t="shared" si="614"/>
        <v>7.035796196692665E-4</v>
      </c>
      <c r="AE662" s="115"/>
      <c r="AF662" s="115">
        <f t="shared" si="614"/>
        <v>0</v>
      </c>
      <c r="AG662" s="115"/>
      <c r="AH662" s="115">
        <f t="shared" si="614"/>
        <v>0</v>
      </c>
      <c r="AI662" s="115"/>
      <c r="AJ662" s="115">
        <f t="shared" si="614"/>
        <v>0</v>
      </c>
      <c r="AK662" s="112">
        <f t="shared" si="599"/>
        <v>0.99999999999999967</v>
      </c>
      <c r="AL662" s="95" t="str">
        <f t="shared" si="600"/>
        <v>ok</v>
      </c>
    </row>
    <row r="663" spans="1:38" x14ac:dyDescent="0.25">
      <c r="A663" s="94" t="s">
        <v>380</v>
      </c>
      <c r="D663" s="94" t="s">
        <v>892</v>
      </c>
      <c r="F663" s="111">
        <v>1</v>
      </c>
      <c r="H663" s="115">
        <f>H511/$F$511</f>
        <v>9.9734828258777261E-2</v>
      </c>
      <c r="I663" s="115">
        <f t="shared" ref="I663:AJ663" si="615">I511/$F$511</f>
        <v>9.4017803364249017E-2</v>
      </c>
      <c r="J663" s="115">
        <f t="shared" si="615"/>
        <v>9.655693309748177E-2</v>
      </c>
      <c r="K663" s="115">
        <f t="shared" si="615"/>
        <v>0.24680530445542409</v>
      </c>
      <c r="L663" s="115">
        <f t="shared" si="615"/>
        <v>0</v>
      </c>
      <c r="M663" s="115">
        <f t="shared" si="615"/>
        <v>0</v>
      </c>
      <c r="N663" s="115"/>
      <c r="O663" s="115">
        <f t="shared" si="615"/>
        <v>2.0756597566368173E-2</v>
      </c>
      <c r="P663" s="115">
        <f t="shared" si="615"/>
        <v>1.9566782663346195E-2</v>
      </c>
      <c r="Q663" s="115">
        <f t="shared" si="615"/>
        <v>2.0095220872561981E-2</v>
      </c>
      <c r="R663" s="115"/>
      <c r="S663" s="115">
        <f t="shared" si="615"/>
        <v>0</v>
      </c>
      <c r="T663" s="115">
        <f t="shared" si="615"/>
        <v>2.5858417636048531E-2</v>
      </c>
      <c r="U663" s="115">
        <f t="shared" si="615"/>
        <v>0</v>
      </c>
      <c r="V663" s="115">
        <f t="shared" si="615"/>
        <v>4.1881219636195399E-2</v>
      </c>
      <c r="W663" s="115">
        <f t="shared" si="615"/>
        <v>5.9944617366517586E-2</v>
      </c>
      <c r="X663" s="115">
        <f t="shared" si="615"/>
        <v>7.3908034652109536E-3</v>
      </c>
      <c r="Y663" s="115">
        <f t="shared" si="615"/>
        <v>1.0578461888208986E-2</v>
      </c>
      <c r="Z663" s="115">
        <f t="shared" si="615"/>
        <v>2.60136959040825E-2</v>
      </c>
      <c r="AA663" s="115">
        <f t="shared" si="615"/>
        <v>2.2258146560349672E-2</v>
      </c>
      <c r="AB663" s="115">
        <f t="shared" si="615"/>
        <v>1.492107738588172E-2</v>
      </c>
      <c r="AC663" s="115">
        <f t="shared" si="615"/>
        <v>1.1824506360354732E-2</v>
      </c>
      <c r="AD663" s="115">
        <f t="shared" si="615"/>
        <v>1.7366950720870581E-2</v>
      </c>
      <c r="AE663" s="115"/>
      <c r="AF663" s="115">
        <f t="shared" si="615"/>
        <v>0.14554524392664259</v>
      </c>
      <c r="AG663" s="115"/>
      <c r="AH663" s="115">
        <f t="shared" si="615"/>
        <v>1.8883388871428326E-2</v>
      </c>
      <c r="AI663" s="115"/>
      <c r="AJ663" s="115">
        <f t="shared" si="615"/>
        <v>0</v>
      </c>
      <c r="AK663" s="112">
        <f t="shared" si="599"/>
        <v>1</v>
      </c>
      <c r="AL663" s="95" t="str">
        <f t="shared" si="600"/>
        <v>ok</v>
      </c>
    </row>
    <row r="664" spans="1:38" x14ac:dyDescent="0.25">
      <c r="A664" s="94" t="s">
        <v>202</v>
      </c>
      <c r="D664" s="94" t="s">
        <v>203</v>
      </c>
      <c r="F664" s="111">
        <v>1</v>
      </c>
      <c r="H664" s="115">
        <f>H57/$F$57</f>
        <v>0.22530814922742365</v>
      </c>
      <c r="I664" s="115">
        <f t="shared" ref="I664:AJ664" si="616">I57/$F$57</f>
        <v>0.21239297886455791</v>
      </c>
      <c r="J664" s="115">
        <f t="shared" si="616"/>
        <v>0.21812905552735243</v>
      </c>
      <c r="K664" s="115">
        <f t="shared" si="616"/>
        <v>0</v>
      </c>
      <c r="L664" s="115">
        <f t="shared" si="616"/>
        <v>0</v>
      </c>
      <c r="M664" s="115">
        <f t="shared" si="616"/>
        <v>0</v>
      </c>
      <c r="N664" s="115"/>
      <c r="O664" s="115">
        <f t="shared" si="616"/>
        <v>3.3636135516060622E-2</v>
      </c>
      <c r="P664" s="115">
        <f t="shared" si="616"/>
        <v>3.17080365013203E-2</v>
      </c>
      <c r="Q664" s="115">
        <f t="shared" si="616"/>
        <v>3.2564372380079476E-2</v>
      </c>
      <c r="R664" s="115"/>
      <c r="S664" s="115">
        <f t="shared" si="616"/>
        <v>0</v>
      </c>
      <c r="T664" s="115">
        <f t="shared" si="616"/>
        <v>2.6751735336356434E-2</v>
      </c>
      <c r="U664" s="115">
        <f t="shared" si="616"/>
        <v>0</v>
      </c>
      <c r="V664" s="115">
        <f t="shared" si="616"/>
        <v>4.3328068988622112E-2</v>
      </c>
      <c r="W664" s="115">
        <f t="shared" si="616"/>
        <v>6.2015493801626374E-2</v>
      </c>
      <c r="X664" s="115">
        <f t="shared" si="616"/>
        <v>7.6461298215215485E-3</v>
      </c>
      <c r="Y664" s="115">
        <f t="shared" si="616"/>
        <v>1.0943910670875244E-2</v>
      </c>
      <c r="Z664" s="115">
        <f t="shared" si="616"/>
        <v>2.691237792432908E-2</v>
      </c>
      <c r="AA664" s="115">
        <f t="shared" si="616"/>
        <v>2.3027087513282869E-2</v>
      </c>
      <c r="AB664" s="115">
        <f t="shared" si="616"/>
        <v>1.5436548313920646E-2</v>
      </c>
      <c r="AC664" s="115">
        <f t="shared" si="616"/>
        <v>1.2233001612375977E-2</v>
      </c>
      <c r="AD664" s="115">
        <f t="shared" si="616"/>
        <v>1.7966918000295318E-2</v>
      </c>
      <c r="AE664" s="115"/>
      <c r="AF664" s="115">
        <f t="shared" si="616"/>
        <v>0</v>
      </c>
      <c r="AG664" s="115"/>
      <c r="AH664" s="115">
        <f t="shared" si="616"/>
        <v>0</v>
      </c>
      <c r="AI664" s="115"/>
      <c r="AJ664" s="115">
        <f t="shared" si="616"/>
        <v>0</v>
      </c>
      <c r="AK664" s="112">
        <f t="shared" si="599"/>
        <v>0.99999999999999978</v>
      </c>
      <c r="AL664" s="95" t="str">
        <f t="shared" si="600"/>
        <v>ok</v>
      </c>
    </row>
    <row r="665" spans="1:38" x14ac:dyDescent="0.25">
      <c r="A665" s="94" t="s">
        <v>1902</v>
      </c>
      <c r="D665" s="94" t="s">
        <v>1903</v>
      </c>
      <c r="F665" s="111">
        <v>1</v>
      </c>
      <c r="H665" s="115">
        <f>H26/$F$26</f>
        <v>0.34354647720544701</v>
      </c>
      <c r="I665" s="115">
        <f t="shared" ref="I665:AJ665" si="617">I26/$F$26</f>
        <v>0.32385361968615645</v>
      </c>
      <c r="J665" s="115">
        <f t="shared" si="617"/>
        <v>0.3325999031083966</v>
      </c>
      <c r="K665" s="115">
        <f t="shared" si="617"/>
        <v>0</v>
      </c>
      <c r="L665" s="115">
        <f t="shared" si="617"/>
        <v>0</v>
      </c>
      <c r="M665" s="115">
        <f t="shared" si="617"/>
        <v>0</v>
      </c>
      <c r="N665" s="115"/>
      <c r="O665" s="115">
        <f t="shared" si="617"/>
        <v>0</v>
      </c>
      <c r="P665" s="115">
        <f t="shared" si="617"/>
        <v>0</v>
      </c>
      <c r="Q665" s="115">
        <f t="shared" si="617"/>
        <v>0</v>
      </c>
      <c r="R665" s="115"/>
      <c r="S665" s="115">
        <f t="shared" si="617"/>
        <v>0</v>
      </c>
      <c r="T665" s="115">
        <f t="shared" si="617"/>
        <v>0</v>
      </c>
      <c r="U665" s="115">
        <f t="shared" si="617"/>
        <v>0</v>
      </c>
      <c r="V665" s="115">
        <f t="shared" si="617"/>
        <v>0</v>
      </c>
      <c r="W665" s="115">
        <f t="shared" si="617"/>
        <v>0</v>
      </c>
      <c r="X665" s="115">
        <f t="shared" si="617"/>
        <v>0</v>
      </c>
      <c r="Y665" s="115">
        <f t="shared" si="617"/>
        <v>0</v>
      </c>
      <c r="Z665" s="115">
        <f t="shared" si="617"/>
        <v>0</v>
      </c>
      <c r="AA665" s="115">
        <f t="shared" si="617"/>
        <v>0</v>
      </c>
      <c r="AB665" s="115">
        <f t="shared" si="617"/>
        <v>0</v>
      </c>
      <c r="AC665" s="115">
        <f t="shared" si="617"/>
        <v>0</v>
      </c>
      <c r="AD665" s="115">
        <f t="shared" si="617"/>
        <v>0</v>
      </c>
      <c r="AE665" s="115"/>
      <c r="AF665" s="115">
        <f t="shared" si="617"/>
        <v>0</v>
      </c>
      <c r="AG665" s="115"/>
      <c r="AH665" s="115">
        <f t="shared" si="617"/>
        <v>0</v>
      </c>
      <c r="AI665" s="115"/>
      <c r="AJ665" s="115">
        <f t="shared" si="617"/>
        <v>0</v>
      </c>
      <c r="AK665" s="112">
        <f t="shared" si="599"/>
        <v>1</v>
      </c>
      <c r="AL665" s="95" t="str">
        <f t="shared" si="600"/>
        <v>ok</v>
      </c>
    </row>
    <row r="666" spans="1:38" x14ac:dyDescent="0.25">
      <c r="A666" s="94" t="s">
        <v>130</v>
      </c>
      <c r="D666" s="94" t="s">
        <v>131</v>
      </c>
      <c r="F666" s="111">
        <v>1</v>
      </c>
      <c r="H666" s="115">
        <f>H12/$F$12</f>
        <v>0.22530814922742365</v>
      </c>
      <c r="I666" s="115">
        <f t="shared" ref="I666:AJ666" si="618">I12/$F$12</f>
        <v>0.21239297886455788</v>
      </c>
      <c r="J666" s="115">
        <f t="shared" si="618"/>
        <v>0.2181290555273524</v>
      </c>
      <c r="K666" s="115">
        <f t="shared" si="618"/>
        <v>0</v>
      </c>
      <c r="L666" s="115">
        <f t="shared" si="618"/>
        <v>0</v>
      </c>
      <c r="M666" s="115">
        <f t="shared" si="618"/>
        <v>0</v>
      </c>
      <c r="N666" s="115"/>
      <c r="O666" s="115">
        <f t="shared" si="618"/>
        <v>3.3636135516060622E-2</v>
      </c>
      <c r="P666" s="115">
        <f t="shared" si="618"/>
        <v>3.1708036501320293E-2</v>
      </c>
      <c r="Q666" s="115">
        <f t="shared" si="618"/>
        <v>3.2564372380079476E-2</v>
      </c>
      <c r="R666" s="115"/>
      <c r="S666" s="115">
        <f t="shared" si="618"/>
        <v>0</v>
      </c>
      <c r="T666" s="115">
        <f t="shared" si="618"/>
        <v>2.6751735336356431E-2</v>
      </c>
      <c r="U666" s="115">
        <f t="shared" si="618"/>
        <v>0</v>
      </c>
      <c r="V666" s="115">
        <f t="shared" si="618"/>
        <v>4.3328068988622098E-2</v>
      </c>
      <c r="W666" s="115">
        <f t="shared" si="618"/>
        <v>6.2015493801626374E-2</v>
      </c>
      <c r="X666" s="115">
        <f t="shared" si="618"/>
        <v>7.6461298215215476E-3</v>
      </c>
      <c r="Y666" s="115">
        <f t="shared" si="618"/>
        <v>1.0943910670875244E-2</v>
      </c>
      <c r="Z666" s="115">
        <f t="shared" si="618"/>
        <v>2.6912377924329076E-2</v>
      </c>
      <c r="AA666" s="115">
        <f t="shared" si="618"/>
        <v>2.3027087513282866E-2</v>
      </c>
      <c r="AB666" s="115">
        <f t="shared" si="618"/>
        <v>1.5436548313920644E-2</v>
      </c>
      <c r="AC666" s="115">
        <f t="shared" si="618"/>
        <v>1.2233001612375975E-2</v>
      </c>
      <c r="AD666" s="115">
        <f t="shared" si="618"/>
        <v>1.7966918000295318E-2</v>
      </c>
      <c r="AE666" s="115"/>
      <c r="AF666" s="115">
        <f t="shared" si="618"/>
        <v>0</v>
      </c>
      <c r="AG666" s="115"/>
      <c r="AH666" s="115">
        <f t="shared" si="618"/>
        <v>0</v>
      </c>
      <c r="AI666" s="115"/>
      <c r="AJ666" s="115">
        <f t="shared" si="618"/>
        <v>0</v>
      </c>
      <c r="AK666" s="112">
        <f t="shared" si="599"/>
        <v>0.99999999999999978</v>
      </c>
      <c r="AL666" s="95" t="str">
        <f t="shared" si="600"/>
        <v>ok</v>
      </c>
    </row>
  </sheetData>
  <autoFilter ref="C1:C666"/>
  <mergeCells count="6">
    <mergeCell ref="X2:Y2"/>
    <mergeCell ref="Z2:AA2"/>
    <mergeCell ref="H2:J2"/>
    <mergeCell ref="K2:M2"/>
    <mergeCell ref="O2:Q2"/>
    <mergeCell ref="U2:W2"/>
  </mergeCells>
  <phoneticPr fontId="0" type="noConversion"/>
  <pageMargins left="0.5" right="0.25" top="1.25" bottom="0.5" header="0.81" footer="0.5"/>
  <pageSetup scale="53" fitToWidth="3" pageOrder="overThenDown" orientation="landscape" horizontalDpi="300" verticalDpi="300" r:id="rId1"/>
  <headerFooter alignWithMargins="0">
    <oddHeader>&amp;C&amp;"Times New Roman,Bold"&amp;12KENTUCKY UTILITIES COMPANY
Cost of Service Study
Functional Assignment and Classification
12 Months Ended March 31, 2012</oddHeader>
    <oddFooter>&amp;R&amp;"Times New Roman,Bold"&amp;12Conroy Exhibit C3
Page &amp;P of &amp;N</oddFooter>
  </headerFooter>
  <rowBreaks count="12" manualBreakCount="12">
    <brk id="52" max="16383" man="1"/>
    <brk id="88" max="16383" man="1"/>
    <brk id="144" min="5" max="35" man="1"/>
    <brk id="197" min="5" max="35" man="1"/>
    <brk id="256" min="5" max="35" man="1"/>
    <brk id="308" min="5" max="35" man="1"/>
    <brk id="355" max="16383" man="1"/>
    <brk id="407" min="5" max="35" man="1"/>
    <brk id="465" min="5" max="35" man="1"/>
    <brk id="516" max="16383" man="1"/>
    <brk id="563" max="16383" man="1"/>
    <brk id="610" max="16383" man="1"/>
  </rowBreaks>
  <colBreaks count="3" manualBreakCount="3">
    <brk id="13" min="4" max="669" man="1"/>
    <brk id="23" min="4" max="669" man="1"/>
    <brk id="30" min="4" max="66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CB1463"/>
  <sheetViews>
    <sheetView tabSelected="1" view="pageBreakPreview" zoomScale="80" zoomScaleNormal="100" zoomScaleSheetLayoutView="80" workbookViewId="0">
      <pane xSplit="5" ySplit="3" topLeftCell="G143" activePane="bottomRight" state="frozen"/>
      <selection pane="topRight" activeCell="F1" sqref="F1"/>
      <selection pane="bottomLeft" activeCell="A4" sqref="A4"/>
      <selection pane="bottomRight" activeCell="D161" sqref="D161"/>
    </sheetView>
  </sheetViews>
  <sheetFormatPr defaultRowHeight="12" customHeight="1" x14ac:dyDescent="0.2"/>
  <cols>
    <col min="1" max="1" width="7.7109375" style="55" customWidth="1"/>
    <col min="2" max="2" width="25.85546875" style="55" customWidth="1"/>
    <col min="3" max="3" width="12.5703125" style="55" customWidth="1"/>
    <col min="4" max="4" width="11.85546875" style="55" customWidth="1"/>
    <col min="5" max="5" width="16.28515625" style="55" bestFit="1" customWidth="1"/>
    <col min="6" max="6" width="19.42578125" style="55" customWidth="1"/>
    <col min="7" max="7" width="24.28515625" style="55" bestFit="1" customWidth="1"/>
    <col min="8" max="8" width="20.42578125" style="55" customWidth="1"/>
    <col min="9" max="9" width="19.85546875" style="55" customWidth="1"/>
    <col min="10" max="10" width="23.7109375" style="55" customWidth="1"/>
    <col min="11" max="12" width="20.140625" style="55" customWidth="1"/>
    <col min="13" max="13" width="21.140625" style="55" customWidth="1"/>
    <col min="14" max="14" width="19.85546875" style="55" customWidth="1"/>
    <col min="15" max="15" width="21.140625" style="55" bestFit="1" customWidth="1"/>
    <col min="16" max="18" width="17.7109375" style="55" customWidth="1"/>
    <col min="19" max="19" width="18" style="55" customWidth="1"/>
    <col min="20" max="20" width="19.140625" style="55" customWidth="1"/>
    <col min="21" max="21" width="16.85546875" style="55" customWidth="1"/>
    <col min="22" max="22" width="25.5703125" style="55" customWidth="1"/>
    <col min="23" max="23" width="15.85546875" style="55" bestFit="1" customWidth="1"/>
    <col min="24" max="24" width="25.85546875" style="55" bestFit="1" customWidth="1"/>
    <col min="25" max="26" width="10.28515625" style="55" bestFit="1" customWidth="1"/>
    <col min="27" max="27" width="11.7109375" style="55" bestFit="1" customWidth="1"/>
    <col min="28" max="28" width="21.7109375" style="55" customWidth="1"/>
    <col min="29" max="29" width="20.5703125" style="55" customWidth="1"/>
    <col min="30" max="30" width="13.85546875" style="55" customWidth="1"/>
    <col min="31" max="16384" width="9.140625" style="55"/>
  </cols>
  <sheetData>
    <row r="1" spans="1:23" ht="12" hidden="1" customHeight="1" x14ac:dyDescent="0.2">
      <c r="A1" s="389"/>
      <c r="B1" s="389"/>
      <c r="C1" s="389"/>
      <c r="D1" s="389">
        <v>1</v>
      </c>
      <c r="E1" s="389">
        <f>D1+1</f>
        <v>2</v>
      </c>
      <c r="F1" s="389">
        <f t="shared" ref="F1:R1" si="0">E1+1</f>
        <v>3</v>
      </c>
      <c r="G1" s="389">
        <f t="shared" si="0"/>
        <v>4</v>
      </c>
      <c r="H1" s="389">
        <f t="shared" si="0"/>
        <v>5</v>
      </c>
      <c r="I1" s="389">
        <f>H1+1</f>
        <v>6</v>
      </c>
      <c r="J1" s="389">
        <f t="shared" si="0"/>
        <v>7</v>
      </c>
      <c r="K1" s="389">
        <f t="shared" si="0"/>
        <v>8</v>
      </c>
      <c r="L1" s="389">
        <f t="shared" si="0"/>
        <v>9</v>
      </c>
      <c r="M1" s="389">
        <f t="shared" si="0"/>
        <v>10</v>
      </c>
      <c r="N1" s="389">
        <f t="shared" si="0"/>
        <v>11</v>
      </c>
      <c r="O1" s="389">
        <f>N1+1</f>
        <v>12</v>
      </c>
      <c r="P1" s="389">
        <f t="shared" si="0"/>
        <v>13</v>
      </c>
      <c r="Q1" s="389">
        <f t="shared" si="0"/>
        <v>14</v>
      </c>
      <c r="R1" s="389">
        <f t="shared" si="0"/>
        <v>15</v>
      </c>
    </row>
    <row r="2" spans="1:23" s="396" customFormat="1" ht="15.75" customHeight="1" x14ac:dyDescent="0.2">
      <c r="A2" s="390"/>
      <c r="B2" s="390"/>
      <c r="C2" s="390"/>
      <c r="D2" s="391"/>
      <c r="E2" s="392" t="s">
        <v>500</v>
      </c>
      <c r="F2" s="393" t="s">
        <v>82</v>
      </c>
      <c r="G2" s="394" t="s">
        <v>1906</v>
      </c>
      <c r="H2" s="394" t="s">
        <v>2834</v>
      </c>
      <c r="I2" s="394" t="s">
        <v>856</v>
      </c>
      <c r="J2" s="394" t="s">
        <v>2280</v>
      </c>
      <c r="K2" s="394" t="s">
        <v>2280</v>
      </c>
      <c r="L2" s="394" t="s">
        <v>2283</v>
      </c>
      <c r="M2" s="394" t="s">
        <v>2283</v>
      </c>
      <c r="N2" s="394" t="s">
        <v>2832</v>
      </c>
      <c r="O2" s="394" t="s">
        <v>2833</v>
      </c>
      <c r="P2" s="394" t="s">
        <v>2716</v>
      </c>
      <c r="Q2" s="394" t="s">
        <v>2717</v>
      </c>
      <c r="R2" s="395" t="s">
        <v>2822</v>
      </c>
      <c r="S2" s="394"/>
      <c r="U2" s="390"/>
      <c r="V2" s="397"/>
    </row>
    <row r="3" spans="1:23" ht="15" customHeight="1" thickBot="1" x14ac:dyDescent="0.25">
      <c r="A3" s="398" t="s">
        <v>119</v>
      </c>
      <c r="B3" s="398"/>
      <c r="C3" s="75" t="s">
        <v>2081</v>
      </c>
      <c r="D3" s="399" t="s">
        <v>120</v>
      </c>
      <c r="E3" s="399" t="s">
        <v>121</v>
      </c>
      <c r="F3" s="400" t="s">
        <v>122</v>
      </c>
      <c r="G3" s="75" t="s">
        <v>2201</v>
      </c>
      <c r="H3" s="75" t="s">
        <v>1567</v>
      </c>
      <c r="I3" s="75" t="s">
        <v>483</v>
      </c>
      <c r="J3" s="75" t="s">
        <v>2281</v>
      </c>
      <c r="K3" s="75" t="s">
        <v>2282</v>
      </c>
      <c r="L3" s="75" t="s">
        <v>2284</v>
      </c>
      <c r="M3" s="401" t="s">
        <v>2817</v>
      </c>
      <c r="N3" s="75" t="s">
        <v>2277</v>
      </c>
      <c r="O3" s="75" t="s">
        <v>2712</v>
      </c>
      <c r="P3" s="75" t="s">
        <v>2767</v>
      </c>
      <c r="Q3" s="75" t="s">
        <v>2711</v>
      </c>
      <c r="R3" s="401" t="s">
        <v>2823</v>
      </c>
      <c r="S3" s="400"/>
      <c r="T3" s="400" t="s">
        <v>126</v>
      </c>
      <c r="U3" s="400" t="s">
        <v>127</v>
      </c>
      <c r="V3" s="400" t="s">
        <v>1061</v>
      </c>
    </row>
    <row r="5" spans="1:23" ht="12" customHeight="1" x14ac:dyDescent="0.2">
      <c r="A5" s="402" t="s">
        <v>128</v>
      </c>
    </row>
    <row r="7" spans="1:23" ht="12" customHeight="1" x14ac:dyDescent="0.2">
      <c r="A7" s="171" t="s">
        <v>166</v>
      </c>
    </row>
    <row r="8" spans="1:23" ht="12" customHeight="1" x14ac:dyDescent="0.2">
      <c r="A8" s="403" t="s">
        <v>153</v>
      </c>
      <c r="C8" s="55" t="s">
        <v>205</v>
      </c>
      <c r="D8" s="55" t="s">
        <v>167</v>
      </c>
      <c r="E8" s="55" t="s">
        <v>2831</v>
      </c>
      <c r="F8" s="404">
        <f>VLOOKUP(C8,'Functional Assignment'!$C$1:$AU$773,6,)</f>
        <v>1273337766.382304</v>
      </c>
      <c r="G8" s="404">
        <f t="shared" ref="G8:R13" si="1">IF(VLOOKUP($E8,$D$5:$AH$1237,3,)=0,0,(VLOOKUP($E8,$D$5:$AH$1237,G$1,)/VLOOKUP($E8,$D$5:$AH$1237,3,))*$F8)</f>
        <v>425444050.4601444</v>
      </c>
      <c r="H8" s="404">
        <f t="shared" si="1"/>
        <v>134265576.91885778</v>
      </c>
      <c r="I8" s="404">
        <f t="shared" si="1"/>
        <v>11181797.77505511</v>
      </c>
      <c r="J8" s="404">
        <f t="shared" si="1"/>
        <v>218564166.52583289</v>
      </c>
      <c r="K8" s="404">
        <f t="shared" si="1"/>
        <v>46610016.987390488</v>
      </c>
      <c r="L8" s="404">
        <f t="shared" si="1"/>
        <v>35327848.925019041</v>
      </c>
      <c r="M8" s="404">
        <f t="shared" si="1"/>
        <v>254609514.91794744</v>
      </c>
      <c r="N8" s="404">
        <f t="shared" si="1"/>
        <v>104464508.19943994</v>
      </c>
      <c r="O8" s="404">
        <f t="shared" si="1"/>
        <v>33952206.554798543</v>
      </c>
      <c r="P8" s="404">
        <f t="shared" si="1"/>
        <v>8830717.6339977663</v>
      </c>
      <c r="Q8" s="404">
        <f t="shared" si="1"/>
        <v>2871.5916987180167</v>
      </c>
      <c r="R8" s="404">
        <f t="shared" si="1"/>
        <v>84489.892121781289</v>
      </c>
      <c r="S8" s="404"/>
      <c r="T8" s="62">
        <f>SUM(G8:R8)</f>
        <v>1273337766.382304</v>
      </c>
      <c r="U8" s="61" t="str">
        <f t="shared" ref="U8:U14" si="2">IF(ABS(F8-T8)&lt;0.01,"ok","err")</f>
        <v>ok</v>
      </c>
      <c r="V8" s="405" t="str">
        <f t="shared" ref="V8:V14" si="3">IF(U8="err",T8-F8,"")</f>
        <v/>
      </c>
    </row>
    <row r="9" spans="1:23" ht="12" customHeight="1" x14ac:dyDescent="0.2">
      <c r="A9" s="403" t="s">
        <v>157</v>
      </c>
      <c r="C9" s="55" t="s">
        <v>205</v>
      </c>
      <c r="D9" s="55" t="s">
        <v>168</v>
      </c>
      <c r="E9" s="55" t="s">
        <v>59</v>
      </c>
      <c r="F9" s="73">
        <f>VLOOKUP(C9,'Functional Assignment'!$C$1:$AU$773,7,)</f>
        <v>1200347178.8749757</v>
      </c>
      <c r="G9" s="73">
        <f t="shared" si="1"/>
        <v>548195325.25409424</v>
      </c>
      <c r="H9" s="73">
        <f t="shared" si="1"/>
        <v>151392458.38652602</v>
      </c>
      <c r="I9" s="73">
        <f t="shared" si="1"/>
        <v>10206644.911149137</v>
      </c>
      <c r="J9" s="73">
        <f t="shared" si="1"/>
        <v>152114466.1742512</v>
      </c>
      <c r="K9" s="73">
        <f t="shared" si="1"/>
        <v>33777770.434126504</v>
      </c>
      <c r="L9" s="73">
        <f t="shared" si="1"/>
        <v>22623055.861705527</v>
      </c>
      <c r="M9" s="73">
        <f t="shared" si="1"/>
        <v>181393262.53887436</v>
      </c>
      <c r="N9" s="73">
        <f t="shared" si="1"/>
        <v>80817606.459404334</v>
      </c>
      <c r="O9" s="73">
        <f t="shared" si="1"/>
        <v>19780058.162478141</v>
      </c>
      <c r="P9" s="73">
        <f t="shared" si="1"/>
        <v>0</v>
      </c>
      <c r="Q9" s="73">
        <f t="shared" si="1"/>
        <v>0</v>
      </c>
      <c r="R9" s="73">
        <f t="shared" si="1"/>
        <v>46530.692366357907</v>
      </c>
      <c r="S9" s="73"/>
      <c r="T9" s="73">
        <f t="shared" ref="T9:T14" si="4">SUM(G9:R9)</f>
        <v>1200347178.8749757</v>
      </c>
      <c r="U9" s="61" t="str">
        <f t="shared" si="2"/>
        <v>ok</v>
      </c>
      <c r="V9" s="62" t="str">
        <f t="shared" si="3"/>
        <v/>
      </c>
    </row>
    <row r="10" spans="1:23" ht="12" customHeight="1" x14ac:dyDescent="0.2">
      <c r="A10" s="403" t="s">
        <v>154</v>
      </c>
      <c r="C10" s="55" t="s">
        <v>205</v>
      </c>
      <c r="D10" s="55" t="s">
        <v>169</v>
      </c>
      <c r="E10" s="55" t="s">
        <v>62</v>
      </c>
      <c r="F10" s="73">
        <f>VLOOKUP(C10,'Functional Assignment'!$C$1:$AU$773,8,)</f>
        <v>1232764839.179965</v>
      </c>
      <c r="G10" s="73">
        <f t="shared" si="1"/>
        <v>490783247.08391881</v>
      </c>
      <c r="H10" s="73">
        <f t="shared" si="1"/>
        <v>148960213.06249532</v>
      </c>
      <c r="I10" s="73">
        <f t="shared" si="1"/>
        <v>8506453.8168734461</v>
      </c>
      <c r="J10" s="73">
        <f t="shared" si="1"/>
        <v>193222048.84387901</v>
      </c>
      <c r="K10" s="73">
        <f t="shared" si="1"/>
        <v>48924108.194069915</v>
      </c>
      <c r="L10" s="73">
        <f t="shared" si="1"/>
        <v>30233955.834501296</v>
      </c>
      <c r="M10" s="73">
        <f t="shared" si="1"/>
        <v>201125552.13525593</v>
      </c>
      <c r="N10" s="73">
        <f t="shared" si="1"/>
        <v>84713159.785136908</v>
      </c>
      <c r="O10" s="73">
        <f t="shared" si="1"/>
        <v>26249361.400677092</v>
      </c>
      <c r="P10" s="73">
        <f t="shared" si="1"/>
        <v>0</v>
      </c>
      <c r="Q10" s="73">
        <f t="shared" si="1"/>
        <v>0</v>
      </c>
      <c r="R10" s="73">
        <f t="shared" si="1"/>
        <v>46739.023157589952</v>
      </c>
      <c r="S10" s="73"/>
      <c r="T10" s="73">
        <f t="shared" si="4"/>
        <v>1232764839.1799653</v>
      </c>
      <c r="U10" s="61" t="str">
        <f t="shared" si="2"/>
        <v>ok</v>
      </c>
      <c r="V10" s="62" t="str">
        <f t="shared" si="3"/>
        <v/>
      </c>
      <c r="W10" s="62"/>
    </row>
    <row r="11" spans="1:23" ht="12" customHeight="1" x14ac:dyDescent="0.2">
      <c r="A11" s="403" t="s">
        <v>155</v>
      </c>
      <c r="C11" s="55" t="s">
        <v>205</v>
      </c>
      <c r="D11" s="55" t="s">
        <v>170</v>
      </c>
      <c r="E11" s="55" t="s">
        <v>502</v>
      </c>
      <c r="F11" s="73">
        <f>VLOOKUP(C11,'Functional Assignment'!$C$1:$AU$773,9,)</f>
        <v>0</v>
      </c>
      <c r="G11" s="73">
        <f t="shared" si="1"/>
        <v>0</v>
      </c>
      <c r="H11" s="73">
        <f t="shared" si="1"/>
        <v>0</v>
      </c>
      <c r="I11" s="73">
        <f t="shared" si="1"/>
        <v>0</v>
      </c>
      <c r="J11" s="73">
        <f t="shared" si="1"/>
        <v>0</v>
      </c>
      <c r="K11" s="73">
        <f t="shared" si="1"/>
        <v>0</v>
      </c>
      <c r="L11" s="73">
        <f t="shared" si="1"/>
        <v>0</v>
      </c>
      <c r="M11" s="73">
        <f t="shared" si="1"/>
        <v>0</v>
      </c>
      <c r="N11" s="73">
        <f t="shared" si="1"/>
        <v>0</v>
      </c>
      <c r="O11" s="73">
        <f t="shared" si="1"/>
        <v>0</v>
      </c>
      <c r="P11" s="73">
        <f t="shared" si="1"/>
        <v>0</v>
      </c>
      <c r="Q11" s="73">
        <f t="shared" si="1"/>
        <v>0</v>
      </c>
      <c r="R11" s="73">
        <f t="shared" si="1"/>
        <v>0</v>
      </c>
      <c r="S11" s="73"/>
      <c r="T11" s="73">
        <f t="shared" si="4"/>
        <v>0</v>
      </c>
      <c r="U11" s="61" t="str">
        <f t="shared" si="2"/>
        <v>ok</v>
      </c>
      <c r="V11" s="62" t="str">
        <f t="shared" si="3"/>
        <v/>
      </c>
    </row>
    <row r="12" spans="1:23" ht="12" customHeight="1" x14ac:dyDescent="0.2">
      <c r="A12" s="403" t="s">
        <v>158</v>
      </c>
      <c r="C12" s="55" t="s">
        <v>205</v>
      </c>
      <c r="D12" s="55" t="s">
        <v>171</v>
      </c>
      <c r="E12" s="55" t="s">
        <v>502</v>
      </c>
      <c r="F12" s="73">
        <f>VLOOKUP(C12,'Functional Assignment'!$C$1:$AU$773,10,)</f>
        <v>0</v>
      </c>
      <c r="G12" s="73">
        <f t="shared" si="1"/>
        <v>0</v>
      </c>
      <c r="H12" s="73">
        <f t="shared" si="1"/>
        <v>0</v>
      </c>
      <c r="I12" s="73">
        <f t="shared" si="1"/>
        <v>0</v>
      </c>
      <c r="J12" s="73">
        <f t="shared" si="1"/>
        <v>0</v>
      </c>
      <c r="K12" s="73">
        <f t="shared" si="1"/>
        <v>0</v>
      </c>
      <c r="L12" s="73">
        <f t="shared" si="1"/>
        <v>0</v>
      </c>
      <c r="M12" s="73">
        <f t="shared" si="1"/>
        <v>0</v>
      </c>
      <c r="N12" s="73">
        <f t="shared" si="1"/>
        <v>0</v>
      </c>
      <c r="O12" s="73">
        <f t="shared" si="1"/>
        <v>0</v>
      </c>
      <c r="P12" s="73">
        <f t="shared" si="1"/>
        <v>0</v>
      </c>
      <c r="Q12" s="73">
        <f t="shared" si="1"/>
        <v>0</v>
      </c>
      <c r="R12" s="73">
        <f t="shared" si="1"/>
        <v>0</v>
      </c>
      <c r="S12" s="73"/>
      <c r="T12" s="73">
        <f t="shared" si="4"/>
        <v>0</v>
      </c>
      <c r="U12" s="61" t="str">
        <f t="shared" si="2"/>
        <v>ok</v>
      </c>
      <c r="V12" s="62" t="str">
        <f t="shared" si="3"/>
        <v/>
      </c>
    </row>
    <row r="13" spans="1:23" ht="12" customHeight="1" x14ac:dyDescent="0.2">
      <c r="A13" s="403" t="s">
        <v>156</v>
      </c>
      <c r="C13" s="55" t="s">
        <v>205</v>
      </c>
      <c r="D13" s="55" t="s">
        <v>172</v>
      </c>
      <c r="E13" s="55" t="s">
        <v>502</v>
      </c>
      <c r="F13" s="73">
        <f>VLOOKUP(C13,'Functional Assignment'!$C$1:$AU$773,11,)</f>
        <v>0</v>
      </c>
      <c r="G13" s="73">
        <f t="shared" si="1"/>
        <v>0</v>
      </c>
      <c r="H13" s="73">
        <f t="shared" si="1"/>
        <v>0</v>
      </c>
      <c r="I13" s="73">
        <f t="shared" si="1"/>
        <v>0</v>
      </c>
      <c r="J13" s="73">
        <f t="shared" si="1"/>
        <v>0</v>
      </c>
      <c r="K13" s="73">
        <f t="shared" si="1"/>
        <v>0</v>
      </c>
      <c r="L13" s="73">
        <f t="shared" si="1"/>
        <v>0</v>
      </c>
      <c r="M13" s="73">
        <f t="shared" si="1"/>
        <v>0</v>
      </c>
      <c r="N13" s="73">
        <f t="shared" si="1"/>
        <v>0</v>
      </c>
      <c r="O13" s="73">
        <f t="shared" si="1"/>
        <v>0</v>
      </c>
      <c r="P13" s="73">
        <f t="shared" si="1"/>
        <v>0</v>
      </c>
      <c r="Q13" s="73">
        <f t="shared" si="1"/>
        <v>0</v>
      </c>
      <c r="R13" s="73">
        <f t="shared" si="1"/>
        <v>0</v>
      </c>
      <c r="S13" s="73"/>
      <c r="T13" s="73">
        <f t="shared" si="4"/>
        <v>0</v>
      </c>
      <c r="U13" s="61" t="str">
        <f t="shared" si="2"/>
        <v>ok</v>
      </c>
      <c r="V13" s="62" t="str">
        <f t="shared" si="3"/>
        <v/>
      </c>
    </row>
    <row r="14" spans="1:23" ht="12" customHeight="1" x14ac:dyDescent="0.2">
      <c r="A14" s="55" t="s">
        <v>189</v>
      </c>
      <c r="D14" s="55" t="s">
        <v>503</v>
      </c>
      <c r="F14" s="404">
        <f>SUM(F8:F13)</f>
        <v>3706449784.4372444</v>
      </c>
      <c r="G14" s="404">
        <f t="shared" ref="G14:M14" si="5">SUM(G8:G13)</f>
        <v>1464422622.7981575</v>
      </c>
      <c r="H14" s="404">
        <f t="shared" si="5"/>
        <v>434618248.36787915</v>
      </c>
      <c r="I14" s="404">
        <f>SUM(I8:I13)</f>
        <v>29894896.503077693</v>
      </c>
      <c r="J14" s="404">
        <f t="shared" si="5"/>
        <v>563900681.54396307</v>
      </c>
      <c r="K14" s="404">
        <f t="shared" si="5"/>
        <v>129311895.61558691</v>
      </c>
      <c r="L14" s="404">
        <f t="shared" si="5"/>
        <v>88184860.621225864</v>
      </c>
      <c r="M14" s="404">
        <f t="shared" si="5"/>
        <v>637128329.59207773</v>
      </c>
      <c r="N14" s="404">
        <f>SUM(N8:N13)</f>
        <v>269995274.44398117</v>
      </c>
      <c r="O14" s="404">
        <f>SUM(O8:O13)</f>
        <v>79981626.117953777</v>
      </c>
      <c r="P14" s="404">
        <f>SUM(P8:P13)</f>
        <v>8830717.6339977663</v>
      </c>
      <c r="Q14" s="404">
        <f>SUM(Q8:Q13)</f>
        <v>2871.5916987180167</v>
      </c>
      <c r="R14" s="404">
        <f>SUM(R8:R13)</f>
        <v>177759.60764572915</v>
      </c>
      <c r="S14" s="404"/>
      <c r="T14" s="62">
        <f t="shared" si="4"/>
        <v>3706449784.4372449</v>
      </c>
      <c r="U14" s="61" t="str">
        <f t="shared" si="2"/>
        <v>ok</v>
      </c>
      <c r="V14" s="405" t="str">
        <f t="shared" si="3"/>
        <v/>
      </c>
    </row>
    <row r="15" spans="1:23" ht="12" customHeight="1" x14ac:dyDescent="0.2">
      <c r="F15" s="73"/>
      <c r="G15" s="406">
        <f t="shared" ref="G15:L15" si="6">G14/$F$14</f>
        <v>0.39510116363832049</v>
      </c>
      <c r="H15" s="406">
        <f t="shared" si="6"/>
        <v>0.11725998560476056</v>
      </c>
      <c r="I15" s="406">
        <f t="shared" si="6"/>
        <v>8.0656418518338779E-3</v>
      </c>
      <c r="J15" s="406">
        <f t="shared" si="6"/>
        <v>0.15214038077938805</v>
      </c>
      <c r="K15" s="406">
        <f t="shared" si="6"/>
        <v>3.4888344139598404E-2</v>
      </c>
      <c r="L15" s="406">
        <f t="shared" si="6"/>
        <v>2.3792271782960388E-2</v>
      </c>
    </row>
    <row r="16" spans="1:23" ht="12" customHeight="1" x14ac:dyDescent="0.2">
      <c r="A16" s="171" t="s">
        <v>554</v>
      </c>
      <c r="F16" s="73"/>
      <c r="G16" s="73"/>
    </row>
    <row r="17" spans="1:22" ht="12" customHeight="1" x14ac:dyDescent="0.2">
      <c r="A17" s="403" t="s">
        <v>159</v>
      </c>
      <c r="C17" s="55" t="s">
        <v>205</v>
      </c>
      <c r="D17" s="55" t="s">
        <v>162</v>
      </c>
      <c r="E17" s="55" t="s">
        <v>2831</v>
      </c>
      <c r="F17" s="404">
        <f>VLOOKUP(C17,'Functional Assignment'!$C$1:$AU$773,13,)</f>
        <v>190095927.79762623</v>
      </c>
      <c r="G17" s="404">
        <f t="shared" ref="G17:R19" si="7">IF(VLOOKUP($E17,$D$5:$AH$1237,3,)=0,0,(VLOOKUP($E17,$D$5:$AH$1237,G$1,)/VLOOKUP($E17,$D$5:$AH$1237,3,))*$F17)</f>
        <v>63514319.321555004</v>
      </c>
      <c r="H17" s="404">
        <f t="shared" si="7"/>
        <v>20044437.6107594</v>
      </c>
      <c r="I17" s="404">
        <f t="shared" si="7"/>
        <v>1669324.7295520364</v>
      </c>
      <c r="J17" s="404">
        <f t="shared" si="7"/>
        <v>32629329.873004615</v>
      </c>
      <c r="K17" s="404">
        <f t="shared" si="7"/>
        <v>6958385.0081305895</v>
      </c>
      <c r="L17" s="404">
        <f t="shared" si="7"/>
        <v>5274076.0509883184</v>
      </c>
      <c r="M17" s="404">
        <f t="shared" si="7"/>
        <v>38010521.043400206</v>
      </c>
      <c r="N17" s="404">
        <f t="shared" si="7"/>
        <v>15595451.680126375</v>
      </c>
      <c r="O17" s="404">
        <f t="shared" si="7"/>
        <v>5068707.1225006683</v>
      </c>
      <c r="P17" s="404">
        <f t="shared" si="7"/>
        <v>1318333.207474866</v>
      </c>
      <c r="Q17" s="404">
        <f t="shared" si="7"/>
        <v>428.69841972461359</v>
      </c>
      <c r="R17" s="404">
        <f t="shared" si="7"/>
        <v>12613.451714420597</v>
      </c>
      <c r="S17" s="404"/>
      <c r="T17" s="62">
        <f>SUM(G17:R17)</f>
        <v>190095927.7976262</v>
      </c>
      <c r="U17" s="61" t="str">
        <f>IF(ABS(F17-T17)&lt;0.01,"ok","err")</f>
        <v>ok</v>
      </c>
      <c r="V17" s="405" t="str">
        <f>IF(U17="err",T17-F17,"")</f>
        <v/>
      </c>
    </row>
    <row r="18" spans="1:22" ht="12" customHeight="1" x14ac:dyDescent="0.2">
      <c r="A18" s="403" t="s">
        <v>161</v>
      </c>
      <c r="C18" s="55" t="s">
        <v>205</v>
      </c>
      <c r="D18" s="55" t="s">
        <v>163</v>
      </c>
      <c r="E18" s="55" t="s">
        <v>59</v>
      </c>
      <c r="F18" s="73">
        <f>VLOOKUP(C18,'Functional Assignment'!$C$1:$AU$773,14,)</f>
        <v>179199201.24240872</v>
      </c>
      <c r="G18" s="73">
        <f t="shared" si="7"/>
        <v>81839792.802635565</v>
      </c>
      <c r="H18" s="73">
        <f t="shared" si="7"/>
        <v>22601300.769013409</v>
      </c>
      <c r="I18" s="73">
        <f t="shared" si="7"/>
        <v>1523744.6695689084</v>
      </c>
      <c r="J18" s="73">
        <f t="shared" si="7"/>
        <v>22709088.933244709</v>
      </c>
      <c r="K18" s="73">
        <f t="shared" si="7"/>
        <v>5042665.6454660399</v>
      </c>
      <c r="L18" s="73">
        <f t="shared" si="7"/>
        <v>3377384.1530411746</v>
      </c>
      <c r="M18" s="73">
        <f t="shared" si="7"/>
        <v>27080105.097748972</v>
      </c>
      <c r="N18" s="73">
        <f t="shared" si="7"/>
        <v>12065218.112498295</v>
      </c>
      <c r="O18" s="73">
        <f t="shared" si="7"/>
        <v>2952954.5165146431</v>
      </c>
      <c r="P18" s="73">
        <f t="shared" si="7"/>
        <v>0</v>
      </c>
      <c r="Q18" s="73">
        <f t="shared" si="7"/>
        <v>0</v>
      </c>
      <c r="R18" s="73">
        <f t="shared" si="7"/>
        <v>6946.54267703</v>
      </c>
      <c r="S18" s="73"/>
      <c r="T18" s="73">
        <f>SUM(G18:R18)</f>
        <v>179199201.24240872</v>
      </c>
      <c r="U18" s="61" t="str">
        <f>IF(ABS(F18-T18)&lt;0.01,"ok","err")</f>
        <v>ok</v>
      </c>
      <c r="V18" s="62" t="str">
        <f>IF(U18="err",T18-F18,"")</f>
        <v/>
      </c>
    </row>
    <row r="19" spans="1:22" ht="12" customHeight="1" x14ac:dyDescent="0.2">
      <c r="A19" s="403" t="s">
        <v>160</v>
      </c>
      <c r="C19" s="55" t="s">
        <v>205</v>
      </c>
      <c r="D19" s="55" t="s">
        <v>164</v>
      </c>
      <c r="E19" s="55" t="s">
        <v>62</v>
      </c>
      <c r="F19" s="73">
        <f>VLOOKUP(C19,'Functional Assignment'!$C$1:$AU$773,15,)</f>
        <v>184038816.75951815</v>
      </c>
      <c r="G19" s="73">
        <f t="shared" si="7"/>
        <v>73268773.74179621</v>
      </c>
      <c r="H19" s="73">
        <f t="shared" si="7"/>
        <v>22238192.139308136</v>
      </c>
      <c r="I19" s="73">
        <f t="shared" si="7"/>
        <v>1269924.0321603089</v>
      </c>
      <c r="J19" s="73">
        <f t="shared" si="7"/>
        <v>28846018.405855943</v>
      </c>
      <c r="K19" s="73">
        <f t="shared" si="7"/>
        <v>7303854.4715800704</v>
      </c>
      <c r="L19" s="73">
        <f t="shared" si="7"/>
        <v>4513611.4211713467</v>
      </c>
      <c r="M19" s="73">
        <f t="shared" si="7"/>
        <v>30025928.270066164</v>
      </c>
      <c r="N19" s="73">
        <f t="shared" si="7"/>
        <v>12646783.226870257</v>
      </c>
      <c r="O19" s="73">
        <f t="shared" si="7"/>
        <v>3918753.4064380801</v>
      </c>
      <c r="P19" s="73">
        <f t="shared" si="7"/>
        <v>0</v>
      </c>
      <c r="Q19" s="73">
        <f t="shared" si="7"/>
        <v>0</v>
      </c>
      <c r="R19" s="73">
        <f t="shared" si="7"/>
        <v>6977.6442716686224</v>
      </c>
      <c r="S19" s="73"/>
      <c r="T19" s="73">
        <f>SUM(G19:R19)</f>
        <v>184038816.75951821</v>
      </c>
      <c r="U19" s="61" t="str">
        <f>IF(ABS(F19-T19)&lt;0.01,"ok","err")</f>
        <v>ok</v>
      </c>
      <c r="V19" s="62" t="str">
        <f>IF(U19="err",T19-F19,"")</f>
        <v/>
      </c>
    </row>
    <row r="20" spans="1:22" ht="12" customHeight="1" x14ac:dyDescent="0.2">
      <c r="A20" s="55" t="s">
        <v>556</v>
      </c>
      <c r="D20" s="55" t="s">
        <v>165</v>
      </c>
      <c r="F20" s="404">
        <f t="shared" ref="F20:R20" si="8">SUM(F17:F19)</f>
        <v>553333945.79955316</v>
      </c>
      <c r="G20" s="404">
        <f t="shared" si="8"/>
        <v>218622885.86598676</v>
      </c>
      <c r="H20" s="404">
        <f t="shared" si="8"/>
        <v>64883930.519080952</v>
      </c>
      <c r="I20" s="404">
        <f>SUM(I17:I19)</f>
        <v>4462993.4312812537</v>
      </c>
      <c r="J20" s="404">
        <f t="shared" si="8"/>
        <v>84184437.212105259</v>
      </c>
      <c r="K20" s="404">
        <f t="shared" si="8"/>
        <v>19304905.125176698</v>
      </c>
      <c r="L20" s="404">
        <f t="shared" si="8"/>
        <v>13165071.62520084</v>
      </c>
      <c r="M20" s="404">
        <f t="shared" si="8"/>
        <v>95116554.411215335</v>
      </c>
      <c r="N20" s="404">
        <f>SUM(N17:N19)</f>
        <v>40307453.019494921</v>
      </c>
      <c r="O20" s="404">
        <f t="shared" si="8"/>
        <v>11940415.045453392</v>
      </c>
      <c r="P20" s="404">
        <f t="shared" si="8"/>
        <v>1318333.207474866</v>
      </c>
      <c r="Q20" s="404">
        <f t="shared" si="8"/>
        <v>428.69841972461359</v>
      </c>
      <c r="R20" s="404">
        <f t="shared" si="8"/>
        <v>26537.638663119218</v>
      </c>
      <c r="S20" s="404"/>
      <c r="T20" s="62">
        <f>SUM(G20:R20)</f>
        <v>553333945.79955316</v>
      </c>
      <c r="U20" s="61" t="str">
        <f>IF(ABS(F20-T20)&lt;0.01,"ok","err")</f>
        <v>ok</v>
      </c>
      <c r="V20" s="405" t="str">
        <f>IF(U20="err",T20-F20,"")</f>
        <v/>
      </c>
    </row>
    <row r="21" spans="1:22" ht="12" customHeight="1" x14ac:dyDescent="0.2">
      <c r="F21" s="73"/>
      <c r="G21" s="73"/>
    </row>
    <row r="22" spans="1:22" ht="12" customHeight="1" x14ac:dyDescent="0.2">
      <c r="A22" s="171" t="s">
        <v>2087</v>
      </c>
      <c r="F22" s="73"/>
      <c r="G22" s="73"/>
    </row>
    <row r="23" spans="1:22" ht="12" customHeight="1" x14ac:dyDescent="0.2">
      <c r="A23" s="403" t="s">
        <v>174</v>
      </c>
      <c r="C23" s="55" t="s">
        <v>205</v>
      </c>
      <c r="D23" s="55" t="s">
        <v>177</v>
      </c>
      <c r="E23" s="55" t="s">
        <v>2730</v>
      </c>
      <c r="F23" s="404">
        <f>VLOOKUP(C23,'Functional Assignment'!$C$1:$AU$773,17,)</f>
        <v>0</v>
      </c>
      <c r="G23" s="404">
        <f t="shared" ref="G23:R23" si="9">IF(VLOOKUP($E23,$D$5:$AH$1237,3,)=0,0,(VLOOKUP($E23,$D$5:$AH$1237,G$1,)/VLOOKUP($E23,$D$5:$AH$1237,3,))*$F23)</f>
        <v>0</v>
      </c>
      <c r="H23" s="404">
        <f t="shared" si="9"/>
        <v>0</v>
      </c>
      <c r="I23" s="404">
        <f t="shared" si="9"/>
        <v>0</v>
      </c>
      <c r="J23" s="404">
        <f t="shared" si="9"/>
        <v>0</v>
      </c>
      <c r="K23" s="404">
        <f t="shared" si="9"/>
        <v>0</v>
      </c>
      <c r="L23" s="404">
        <f t="shared" si="9"/>
        <v>0</v>
      </c>
      <c r="M23" s="404">
        <f t="shared" si="9"/>
        <v>0</v>
      </c>
      <c r="N23" s="404">
        <f t="shared" si="9"/>
        <v>0</v>
      </c>
      <c r="O23" s="404">
        <f t="shared" si="9"/>
        <v>0</v>
      </c>
      <c r="P23" s="404">
        <f t="shared" si="9"/>
        <v>0</v>
      </c>
      <c r="Q23" s="404">
        <f t="shared" si="9"/>
        <v>0</v>
      </c>
      <c r="R23" s="404">
        <f t="shared" si="9"/>
        <v>0</v>
      </c>
      <c r="S23" s="404"/>
      <c r="T23" s="62">
        <f>SUM(G23:R23)</f>
        <v>0</v>
      </c>
      <c r="U23" s="61" t="str">
        <f>IF(ABS(F23-T23)&lt;0.01,"ok","err")</f>
        <v>ok</v>
      </c>
      <c r="V23" s="62" t="str">
        <f>IF(U23="err",T23-F23,"")</f>
        <v/>
      </c>
    </row>
    <row r="24" spans="1:22" ht="12" customHeight="1" x14ac:dyDescent="0.2">
      <c r="F24" s="73"/>
    </row>
    <row r="25" spans="1:22" ht="12" customHeight="1" x14ac:dyDescent="0.2">
      <c r="A25" s="171" t="s">
        <v>2088</v>
      </c>
      <c r="F25" s="73"/>
      <c r="G25" s="73"/>
    </row>
    <row r="26" spans="1:22" ht="12" customHeight="1" x14ac:dyDescent="0.2">
      <c r="A26" s="403" t="s">
        <v>176</v>
      </c>
      <c r="C26" s="55" t="s">
        <v>205</v>
      </c>
      <c r="D26" s="55" t="s">
        <v>178</v>
      </c>
      <c r="E26" s="55" t="s">
        <v>2729</v>
      </c>
      <c r="F26" s="404">
        <f>VLOOKUP(C26,'Functional Assignment'!$C$1:$AU$773,18,)</f>
        <v>151352471.46734598</v>
      </c>
      <c r="G26" s="404">
        <f t="shared" ref="G26:R26" si="10">IF(VLOOKUP($E26,$D$5:$AH$1237,3,)=0,0,(VLOOKUP($E26,$D$5:$AH$1237,G$1,)/VLOOKUP($E26,$D$5:$AH$1237,3,))*$F26)</f>
        <v>68463182.893144086</v>
      </c>
      <c r="H26" s="404">
        <f t="shared" si="10"/>
        <v>20989526.806601346</v>
      </c>
      <c r="I26" s="404">
        <f t="shared" si="10"/>
        <v>1976632.5280694314</v>
      </c>
      <c r="J26" s="404">
        <f t="shared" si="10"/>
        <v>23177701.333330572</v>
      </c>
      <c r="K26" s="404">
        <f t="shared" si="10"/>
        <v>5780228.1921270872</v>
      </c>
      <c r="L26" s="404">
        <f t="shared" si="10"/>
        <v>3428301.5181864151</v>
      </c>
      <c r="M26" s="404">
        <f t="shared" si="10"/>
        <v>26364476.920324944</v>
      </c>
      <c r="N26" s="404">
        <f t="shared" si="10"/>
        <v>0</v>
      </c>
      <c r="O26" s="404">
        <f t="shared" si="10"/>
        <v>0</v>
      </c>
      <c r="P26" s="404">
        <f t="shared" si="10"/>
        <v>1166260.8393622022</v>
      </c>
      <c r="Q26" s="404">
        <f t="shared" si="10"/>
        <v>379.29626175425619</v>
      </c>
      <c r="R26" s="404">
        <f t="shared" si="10"/>
        <v>5781.1399381368783</v>
      </c>
      <c r="S26" s="404"/>
      <c r="T26" s="62">
        <f>SUM(G26:R26)</f>
        <v>151352471.46734601</v>
      </c>
      <c r="U26" s="61" t="str">
        <f>IF(ABS(F26-T26)&lt;0.01,"ok","err")</f>
        <v>ok</v>
      </c>
      <c r="V26" s="62" t="str">
        <f>IF(U26="err",T26-F26,"")</f>
        <v/>
      </c>
    </row>
    <row r="27" spans="1:22" ht="12" customHeight="1" x14ac:dyDescent="0.2">
      <c r="F27" s="73"/>
    </row>
    <row r="28" spans="1:22" ht="12" customHeight="1" x14ac:dyDescent="0.2">
      <c r="A28" s="171" t="s">
        <v>175</v>
      </c>
      <c r="F28" s="73"/>
    </row>
    <row r="29" spans="1:22" ht="12" customHeight="1" x14ac:dyDescent="0.2">
      <c r="A29" s="403" t="s">
        <v>1010</v>
      </c>
      <c r="C29" s="55" t="s">
        <v>205</v>
      </c>
      <c r="D29" s="55" t="s">
        <v>181</v>
      </c>
      <c r="E29" s="55" t="s">
        <v>2730</v>
      </c>
      <c r="F29" s="404">
        <f>VLOOKUP(C29,'Functional Assignment'!$C$1:$AU$773,19,)</f>
        <v>0</v>
      </c>
      <c r="G29" s="404">
        <f t="shared" ref="G29:R33" si="11">IF(VLOOKUP($E29,$D$5:$AH$1237,3,)=0,0,(VLOOKUP($E29,$D$5:$AH$1237,G$1,)/VLOOKUP($E29,$D$5:$AH$1237,3,))*$F29)</f>
        <v>0</v>
      </c>
      <c r="H29" s="404">
        <f t="shared" si="11"/>
        <v>0</v>
      </c>
      <c r="I29" s="404">
        <f t="shared" si="11"/>
        <v>0</v>
      </c>
      <c r="J29" s="404">
        <f t="shared" si="11"/>
        <v>0</v>
      </c>
      <c r="K29" s="404">
        <f t="shared" si="11"/>
        <v>0</v>
      </c>
      <c r="L29" s="404">
        <f t="shared" si="11"/>
        <v>0</v>
      </c>
      <c r="M29" s="404">
        <f t="shared" si="11"/>
        <v>0</v>
      </c>
      <c r="N29" s="404">
        <f t="shared" si="11"/>
        <v>0</v>
      </c>
      <c r="O29" s="404">
        <f t="shared" si="11"/>
        <v>0</v>
      </c>
      <c r="P29" s="404">
        <f t="shared" si="11"/>
        <v>0</v>
      </c>
      <c r="Q29" s="404">
        <f t="shared" si="11"/>
        <v>0</v>
      </c>
      <c r="R29" s="404">
        <f t="shared" si="11"/>
        <v>0</v>
      </c>
      <c r="S29" s="404"/>
      <c r="T29" s="62">
        <f t="shared" ref="T29:T34" si="12">SUM(G29:R29)</f>
        <v>0</v>
      </c>
      <c r="U29" s="61" t="str">
        <f t="shared" ref="U29:U34" si="13">IF(ABS(F29-T29)&lt;0.01,"ok","err")</f>
        <v>ok</v>
      </c>
      <c r="V29" s="62" t="str">
        <f t="shared" ref="V29:V34" si="14">IF(U29="err",T29-F29,"")</f>
        <v/>
      </c>
    </row>
    <row r="30" spans="1:22" ht="12" customHeight="1" x14ac:dyDescent="0.2">
      <c r="A30" s="403" t="s">
        <v>1011</v>
      </c>
      <c r="C30" s="55" t="s">
        <v>205</v>
      </c>
      <c r="D30" s="55" t="s">
        <v>182</v>
      </c>
      <c r="E30" s="55" t="s">
        <v>2730</v>
      </c>
      <c r="F30" s="73">
        <f>VLOOKUP(C30,'Functional Assignment'!$C$1:$AU$773,20,)</f>
        <v>245135885.31295612</v>
      </c>
      <c r="G30" s="73">
        <f t="shared" si="11"/>
        <v>110885423.85298653</v>
      </c>
      <c r="H30" s="73">
        <f t="shared" si="11"/>
        <v>33995389.610445388</v>
      </c>
      <c r="I30" s="73">
        <f t="shared" si="11"/>
        <v>3201424.8595288121</v>
      </c>
      <c r="J30" s="73">
        <f t="shared" si="11"/>
        <v>37539435.469945975</v>
      </c>
      <c r="K30" s="73">
        <f t="shared" si="11"/>
        <v>9361864.6689471733</v>
      </c>
      <c r="L30" s="73">
        <f t="shared" si="11"/>
        <v>5552599.9650537129</v>
      </c>
      <c r="M30" s="73">
        <f t="shared" si="11"/>
        <v>42700851.38366048</v>
      </c>
      <c r="N30" s="73">
        <f t="shared" si="11"/>
        <v>0</v>
      </c>
      <c r="O30" s="73">
        <f t="shared" si="11"/>
        <v>0</v>
      </c>
      <c r="P30" s="73">
        <f t="shared" si="11"/>
        <v>1888917.8392079677</v>
      </c>
      <c r="Q30" s="73">
        <f t="shared" si="11"/>
        <v>614.32181463309905</v>
      </c>
      <c r="R30" s="73">
        <f t="shared" si="11"/>
        <v>9363.3413654498709</v>
      </c>
      <c r="S30" s="73"/>
      <c r="T30" s="73">
        <f t="shared" si="12"/>
        <v>245135885.31295609</v>
      </c>
      <c r="U30" s="61" t="str">
        <f t="shared" si="13"/>
        <v>ok</v>
      </c>
      <c r="V30" s="62" t="str">
        <f t="shared" si="14"/>
        <v/>
      </c>
    </row>
    <row r="31" spans="1:22" ht="12" customHeight="1" x14ac:dyDescent="0.2">
      <c r="A31" s="403" t="s">
        <v>1012</v>
      </c>
      <c r="C31" s="55" t="s">
        <v>205</v>
      </c>
      <c r="D31" s="55" t="s">
        <v>183</v>
      </c>
      <c r="E31" s="55" t="s">
        <v>699</v>
      </c>
      <c r="F31" s="73">
        <f>VLOOKUP(C31,'Functional Assignment'!$C$1:$AU$773,21,)</f>
        <v>350863154.78711754</v>
      </c>
      <c r="G31" s="73">
        <f t="shared" si="11"/>
        <v>279111447.86542356</v>
      </c>
      <c r="H31" s="73">
        <f t="shared" si="11"/>
        <v>54551770.210352525</v>
      </c>
      <c r="I31" s="73">
        <f t="shared" si="11"/>
        <v>427406.0637421764</v>
      </c>
      <c r="J31" s="73">
        <f t="shared" si="11"/>
        <v>3740301.5873673814</v>
      </c>
      <c r="K31" s="73">
        <f t="shared" si="11"/>
        <v>198082.437006483</v>
      </c>
      <c r="L31" s="73">
        <f t="shared" si="11"/>
        <v>91064.744529826072</v>
      </c>
      <c r="M31" s="73">
        <f t="shared" si="11"/>
        <v>111005.92946336462</v>
      </c>
      <c r="N31" s="73">
        <f t="shared" si="11"/>
        <v>0</v>
      </c>
      <c r="O31" s="73">
        <f t="shared" si="11"/>
        <v>0</v>
      </c>
      <c r="P31" s="73">
        <f t="shared" si="11"/>
        <v>12578234.74991167</v>
      </c>
      <c r="Q31" s="73">
        <f t="shared" si="11"/>
        <v>664.70616445128519</v>
      </c>
      <c r="R31" s="73">
        <f t="shared" si="11"/>
        <v>53176.493156102813</v>
      </c>
      <c r="S31" s="73"/>
      <c r="T31" s="73">
        <f t="shared" si="12"/>
        <v>350863154.78711754</v>
      </c>
      <c r="U31" s="61" t="str">
        <f t="shared" si="13"/>
        <v>ok</v>
      </c>
      <c r="V31" s="62" t="str">
        <f t="shared" si="14"/>
        <v/>
      </c>
    </row>
    <row r="32" spans="1:22" ht="12" customHeight="1" x14ac:dyDescent="0.2">
      <c r="A32" s="403" t="s">
        <v>1013</v>
      </c>
      <c r="C32" s="55" t="s">
        <v>205</v>
      </c>
      <c r="D32" s="55" t="s">
        <v>184</v>
      </c>
      <c r="E32" s="55" t="s">
        <v>909</v>
      </c>
      <c r="F32" s="73">
        <f>VLOOKUP(C32,'Functional Assignment'!$C$1:$AU$773,22,)</f>
        <v>43259273.878756955</v>
      </c>
      <c r="G32" s="73">
        <f t="shared" si="11"/>
        <v>29629669.63936602</v>
      </c>
      <c r="H32" s="73">
        <f t="shared" si="11"/>
        <v>6885289.5175573817</v>
      </c>
      <c r="I32" s="73">
        <f t="shared" si="11"/>
        <v>404270.26212840015</v>
      </c>
      <c r="J32" s="73">
        <f t="shared" si="11"/>
        <v>5316036.2796571292</v>
      </c>
      <c r="K32" s="73">
        <f t="shared" si="11"/>
        <v>0</v>
      </c>
      <c r="L32" s="73">
        <f t="shared" si="11"/>
        <v>803609.78039823566</v>
      </c>
      <c r="M32" s="73">
        <f t="shared" si="11"/>
        <v>0</v>
      </c>
      <c r="N32" s="73">
        <f t="shared" si="11"/>
        <v>0</v>
      </c>
      <c r="O32" s="73">
        <f t="shared" si="11"/>
        <v>0</v>
      </c>
      <c r="P32" s="73">
        <f t="shared" si="11"/>
        <v>219134.32271588495</v>
      </c>
      <c r="Q32" s="73">
        <f t="shared" si="11"/>
        <v>71.26778729331285</v>
      </c>
      <c r="R32" s="73">
        <f t="shared" si="11"/>
        <v>1192.8091466109684</v>
      </c>
      <c r="S32" s="73"/>
      <c r="T32" s="73">
        <f t="shared" si="12"/>
        <v>43259273.878756948</v>
      </c>
      <c r="U32" s="61" t="str">
        <f t="shared" si="13"/>
        <v>ok</v>
      </c>
      <c r="V32" s="62" t="str">
        <f t="shared" si="14"/>
        <v/>
      </c>
    </row>
    <row r="33" spans="1:22" ht="12" customHeight="1" x14ac:dyDescent="0.2">
      <c r="A33" s="403" t="s">
        <v>1014</v>
      </c>
      <c r="C33" s="55" t="s">
        <v>205</v>
      </c>
      <c r="D33" s="55" t="s">
        <v>185</v>
      </c>
      <c r="E33" s="55" t="s">
        <v>698</v>
      </c>
      <c r="F33" s="73">
        <f>VLOOKUP(C33,'Functional Assignment'!$C$1:$AU$773,23,)</f>
        <v>61917027.315373689</v>
      </c>
      <c r="G33" s="73">
        <f t="shared" si="11"/>
        <v>49298390.168378979</v>
      </c>
      <c r="H33" s="73">
        <f t="shared" si="11"/>
        <v>9635271.0459314194</v>
      </c>
      <c r="I33" s="73">
        <f t="shared" si="11"/>
        <v>75491.102395958311</v>
      </c>
      <c r="J33" s="73">
        <f t="shared" si="11"/>
        <v>660635.19935001153</v>
      </c>
      <c r="K33" s="73">
        <f t="shared" si="11"/>
        <v>0</v>
      </c>
      <c r="L33" s="73">
        <f t="shared" si="11"/>
        <v>16084.418395406357</v>
      </c>
      <c r="M33" s="73">
        <f t="shared" si="11"/>
        <v>0</v>
      </c>
      <c r="N33" s="73">
        <f t="shared" si="11"/>
        <v>0</v>
      </c>
      <c r="O33" s="73">
        <f t="shared" si="11"/>
        <v>0</v>
      </c>
      <c r="P33" s="73">
        <f t="shared" si="11"/>
        <v>2221645.6153012733</v>
      </c>
      <c r="Q33" s="73">
        <f t="shared" si="11"/>
        <v>117.40451383508289</v>
      </c>
      <c r="R33" s="73">
        <f t="shared" si="11"/>
        <v>9392.361106806633</v>
      </c>
      <c r="S33" s="73"/>
      <c r="T33" s="73">
        <f t="shared" si="12"/>
        <v>61917027.315373696</v>
      </c>
      <c r="U33" s="61" t="str">
        <f t="shared" si="13"/>
        <v>ok</v>
      </c>
      <c r="V33" s="62" t="str">
        <f t="shared" si="14"/>
        <v/>
      </c>
    </row>
    <row r="34" spans="1:22" ht="12" customHeight="1" x14ac:dyDescent="0.2">
      <c r="A34" s="55" t="s">
        <v>180</v>
      </c>
      <c r="D34" s="55" t="s">
        <v>186</v>
      </c>
      <c r="F34" s="404">
        <f>SUM(F29:F33)</f>
        <v>701175341.29420435</v>
      </c>
      <c r="G34" s="404">
        <f t="shared" ref="G34:R34" si="15">SUM(G29:G33)</f>
        <v>468924931.52615511</v>
      </c>
      <c r="H34" s="404">
        <f t="shared" si="15"/>
        <v>105067720.38428672</v>
      </c>
      <c r="I34" s="404">
        <f>SUM(I29:I33)</f>
        <v>4108592.2877953467</v>
      </c>
      <c r="J34" s="404">
        <f t="shared" si="15"/>
        <v>47256408.536320493</v>
      </c>
      <c r="K34" s="404">
        <f t="shared" si="15"/>
        <v>9559947.1059536561</v>
      </c>
      <c r="L34" s="404">
        <f t="shared" si="15"/>
        <v>6463358.9083771808</v>
      </c>
      <c r="M34" s="404">
        <f t="shared" si="15"/>
        <v>42811857.313123845</v>
      </c>
      <c r="N34" s="404">
        <f>SUM(N29:N33)</f>
        <v>0</v>
      </c>
      <c r="O34" s="404">
        <f t="shared" si="15"/>
        <v>0</v>
      </c>
      <c r="P34" s="404">
        <f t="shared" si="15"/>
        <v>16907932.527136795</v>
      </c>
      <c r="Q34" s="404">
        <f t="shared" si="15"/>
        <v>1467.7002802127802</v>
      </c>
      <c r="R34" s="404">
        <f t="shared" si="15"/>
        <v>73125.004774970294</v>
      </c>
      <c r="S34" s="404"/>
      <c r="T34" s="62">
        <f t="shared" si="12"/>
        <v>701175341.29420424</v>
      </c>
      <c r="U34" s="61" t="str">
        <f t="shared" si="13"/>
        <v>ok</v>
      </c>
      <c r="V34" s="62" t="str">
        <f t="shared" si="14"/>
        <v/>
      </c>
    </row>
    <row r="35" spans="1:22" ht="12" customHeight="1" x14ac:dyDescent="0.2">
      <c r="F35" s="73"/>
    </row>
    <row r="36" spans="1:22" ht="12" customHeight="1" x14ac:dyDescent="0.2">
      <c r="A36" s="171" t="s">
        <v>1009</v>
      </c>
      <c r="F36" s="73"/>
    </row>
    <row r="37" spans="1:22" ht="12" customHeight="1" x14ac:dyDescent="0.2">
      <c r="A37" s="403" t="s">
        <v>501</v>
      </c>
      <c r="C37" s="55" t="s">
        <v>205</v>
      </c>
      <c r="D37" s="55" t="s">
        <v>187</v>
      </c>
      <c r="E37" s="55" t="s">
        <v>909</v>
      </c>
      <c r="F37" s="404">
        <f>VLOOKUP(C37,'Functional Assignment'!$C$1:$AU$773,24,)</f>
        <v>152261334.10398877</v>
      </c>
      <c r="G37" s="404">
        <f t="shared" ref="G37:R38" si="16">IF(VLOOKUP($E37,$D$5:$AH$1237,3,)=0,0,(VLOOKUP($E37,$D$5:$AH$1237,G$1,)/VLOOKUP($E37,$D$5:$AH$1237,3,))*$F37)</f>
        <v>104288690.58215356</v>
      </c>
      <c r="H37" s="404">
        <f t="shared" si="16"/>
        <v>24234418.972767569</v>
      </c>
      <c r="I37" s="404">
        <f t="shared" si="16"/>
        <v>1422925.6279881001</v>
      </c>
      <c r="J37" s="404">
        <f t="shared" si="16"/>
        <v>18711057.849800836</v>
      </c>
      <c r="K37" s="404">
        <f t="shared" si="16"/>
        <v>0</v>
      </c>
      <c r="L37" s="404">
        <f t="shared" si="16"/>
        <v>2828496.3267156151</v>
      </c>
      <c r="M37" s="404">
        <f t="shared" si="16"/>
        <v>0</v>
      </c>
      <c r="N37" s="404">
        <f t="shared" si="16"/>
        <v>0</v>
      </c>
      <c r="O37" s="404">
        <f t="shared" si="16"/>
        <v>0</v>
      </c>
      <c r="P37" s="404">
        <f t="shared" si="16"/>
        <v>771295.52424316853</v>
      </c>
      <c r="Q37" s="404">
        <f t="shared" si="16"/>
        <v>250.84397861906331</v>
      </c>
      <c r="R37" s="404">
        <f t="shared" si="16"/>
        <v>4198.3763413008337</v>
      </c>
      <c r="S37" s="404"/>
      <c r="T37" s="62">
        <f>SUM(G37:R37)</f>
        <v>152261334.10398877</v>
      </c>
      <c r="U37" s="61" t="str">
        <f>IF(ABS(F37-T37)&lt;0.01,"ok","err")</f>
        <v>ok</v>
      </c>
      <c r="V37" s="62" t="str">
        <f>IF(U37="err",T37-F37,"")</f>
        <v/>
      </c>
    </row>
    <row r="38" spans="1:22" ht="12" customHeight="1" x14ac:dyDescent="0.2">
      <c r="A38" s="403" t="s">
        <v>504</v>
      </c>
      <c r="C38" s="55" t="s">
        <v>205</v>
      </c>
      <c r="D38" s="55" t="s">
        <v>188</v>
      </c>
      <c r="E38" s="55" t="s">
        <v>698</v>
      </c>
      <c r="F38" s="73">
        <f>VLOOKUP(C38,'Functional Assignment'!$C$1:$AU$773,25,)</f>
        <v>130279645.86258902</v>
      </c>
      <c r="G38" s="73">
        <f t="shared" si="16"/>
        <v>103728765.59494418</v>
      </c>
      <c r="H38" s="73">
        <f t="shared" si="16"/>
        <v>20273578.272100333</v>
      </c>
      <c r="I38" s="73">
        <f t="shared" si="16"/>
        <v>158840.86352898797</v>
      </c>
      <c r="J38" s="73">
        <f t="shared" si="16"/>
        <v>1390042.8290476133</v>
      </c>
      <c r="K38" s="73">
        <f t="shared" si="16"/>
        <v>0</v>
      </c>
      <c r="L38" s="73">
        <f t="shared" si="16"/>
        <v>33843.232198244717</v>
      </c>
      <c r="M38" s="73">
        <f t="shared" si="16"/>
        <v>0</v>
      </c>
      <c r="N38" s="73">
        <f t="shared" si="16"/>
        <v>0</v>
      </c>
      <c r="O38" s="73">
        <f t="shared" si="16"/>
        <v>0</v>
      </c>
      <c r="P38" s="73">
        <f t="shared" si="16"/>
        <v>4674565.5685210563</v>
      </c>
      <c r="Q38" s="73">
        <f t="shared" si="16"/>
        <v>247.03089195799063</v>
      </c>
      <c r="R38" s="73">
        <f t="shared" si="16"/>
        <v>19762.471356639253</v>
      </c>
      <c r="S38" s="73"/>
      <c r="T38" s="73">
        <f>SUM(G38:R38)</f>
        <v>130279645.862589</v>
      </c>
      <c r="U38" s="61" t="str">
        <f>IF(ABS(F38-T38)&lt;0.01,"ok","err")</f>
        <v>ok</v>
      </c>
      <c r="V38" s="62" t="str">
        <f>IF(U38="err",T38-F38,"")</f>
        <v/>
      </c>
    </row>
    <row r="39" spans="1:22" ht="12" customHeight="1" x14ac:dyDescent="0.2">
      <c r="A39" s="55" t="s">
        <v>1890</v>
      </c>
      <c r="D39" s="55" t="s">
        <v>191</v>
      </c>
      <c r="F39" s="404">
        <f t="shared" ref="F39:M39" si="17">F37+F38</f>
        <v>282540979.96657777</v>
      </c>
      <c r="G39" s="404">
        <f t="shared" si="17"/>
        <v>208017456.17709774</v>
      </c>
      <c r="H39" s="404">
        <f t="shared" si="17"/>
        <v>44507997.244867906</v>
      </c>
      <c r="I39" s="404">
        <f>I37+I38</f>
        <v>1581766.4915170879</v>
      </c>
      <c r="J39" s="404">
        <f t="shared" si="17"/>
        <v>20101100.678848449</v>
      </c>
      <c r="K39" s="404">
        <f t="shared" si="17"/>
        <v>0</v>
      </c>
      <c r="L39" s="404">
        <f t="shared" si="17"/>
        <v>2862339.55891386</v>
      </c>
      <c r="M39" s="404">
        <f t="shared" si="17"/>
        <v>0</v>
      </c>
      <c r="N39" s="404">
        <f>N37+N38</f>
        <v>0</v>
      </c>
      <c r="O39" s="404">
        <f>O37+O38</f>
        <v>0</v>
      </c>
      <c r="P39" s="404">
        <f>P37+P38</f>
        <v>5445861.0927642249</v>
      </c>
      <c r="Q39" s="404">
        <f>Q37+Q38</f>
        <v>497.87487057705391</v>
      </c>
      <c r="R39" s="404">
        <f>R37+R38</f>
        <v>23960.847697940088</v>
      </c>
      <c r="S39" s="404"/>
      <c r="T39" s="62">
        <f>SUM(G39:R39)</f>
        <v>282540979.96657783</v>
      </c>
      <c r="U39" s="61" t="str">
        <f>IF(ABS(F39-T39)&lt;0.01,"ok","err")</f>
        <v>ok</v>
      </c>
      <c r="V39" s="62" t="str">
        <f>IF(U39="err",T39-F39,"")</f>
        <v/>
      </c>
    </row>
    <row r="40" spans="1:22" ht="12" customHeight="1" x14ac:dyDescent="0.2">
      <c r="F40" s="73"/>
    </row>
    <row r="41" spans="1:22" ht="12" customHeight="1" x14ac:dyDescent="0.2">
      <c r="A41" s="171" t="s">
        <v>148</v>
      </c>
      <c r="F41" s="73"/>
    </row>
    <row r="42" spans="1:22" ht="12" customHeight="1" x14ac:dyDescent="0.2">
      <c r="A42" s="403" t="s">
        <v>504</v>
      </c>
      <c r="C42" s="55" t="s">
        <v>205</v>
      </c>
      <c r="D42" s="55" t="s">
        <v>179</v>
      </c>
      <c r="E42" s="55" t="s">
        <v>505</v>
      </c>
      <c r="F42" s="404">
        <f>VLOOKUP(C42,'Functional Assignment'!$C$1:$AU$773,26,)</f>
        <v>87334885.339636177</v>
      </c>
      <c r="G42" s="404">
        <f t="shared" ref="G42:R42" si="18">IF(VLOOKUP($E42,$D$5:$AH$1237,3,)=0,0,(VLOOKUP($E42,$D$5:$AH$1237,G$1,)/VLOOKUP($E42,$D$5:$AH$1237,3,))*$F42)</f>
        <v>51438512.438536599</v>
      </c>
      <c r="H42" s="404">
        <f t="shared" si="18"/>
        <v>33758593.489435546</v>
      </c>
      <c r="I42" s="404">
        <f t="shared" si="18"/>
        <v>161134.5223962483</v>
      </c>
      <c r="J42" s="404">
        <f t="shared" si="18"/>
        <v>1852764.5606791954</v>
      </c>
      <c r="K42" s="404">
        <f t="shared" si="18"/>
        <v>0</v>
      </c>
      <c r="L42" s="404">
        <f t="shared" si="18"/>
        <v>34331.927788936264</v>
      </c>
      <c r="M42" s="404">
        <f t="shared" si="18"/>
        <v>0</v>
      </c>
      <c r="N42" s="404">
        <f t="shared" si="18"/>
        <v>0</v>
      </c>
      <c r="O42" s="404">
        <f t="shared" si="18"/>
        <v>0</v>
      </c>
      <c r="P42" s="404">
        <f t="shared" si="18"/>
        <v>0</v>
      </c>
      <c r="Q42" s="404">
        <f t="shared" si="18"/>
        <v>1347.5135551245351</v>
      </c>
      <c r="R42" s="404">
        <f t="shared" si="18"/>
        <v>88200.887244515034</v>
      </c>
      <c r="S42" s="404"/>
      <c r="T42" s="62">
        <f>SUM(G42:R42)</f>
        <v>87334885.339636162</v>
      </c>
      <c r="U42" s="61" t="str">
        <f>IF(ABS(F42-T42)&lt;0.01,"ok","err")</f>
        <v>ok</v>
      </c>
      <c r="V42" s="62" t="str">
        <f>IF(U42="err",T42-F42,"")</f>
        <v/>
      </c>
    </row>
    <row r="43" spans="1:22" ht="12" customHeight="1" x14ac:dyDescent="0.2">
      <c r="F43" s="73"/>
    </row>
    <row r="44" spans="1:22" ht="12" customHeight="1" x14ac:dyDescent="0.2">
      <c r="A44" s="171" t="s">
        <v>147</v>
      </c>
      <c r="F44" s="73"/>
    </row>
    <row r="45" spans="1:22" ht="12" customHeight="1" x14ac:dyDescent="0.2">
      <c r="A45" s="403" t="s">
        <v>504</v>
      </c>
      <c r="C45" s="55" t="s">
        <v>205</v>
      </c>
      <c r="D45" s="55" t="s">
        <v>190</v>
      </c>
      <c r="E45" s="55" t="s">
        <v>506</v>
      </c>
      <c r="F45" s="404">
        <f>VLOOKUP(C45,'Functional Assignment'!$C$1:$AU$773,27,)</f>
        <v>69210277.54715012</v>
      </c>
      <c r="G45" s="404">
        <f t="shared" ref="G45:R45" si="19">IF(VLOOKUP($E45,$D$5:$AH$1237,3,)=0,0,(VLOOKUP($E45,$D$5:$AH$1237,G$1,)/VLOOKUP($E45,$D$5:$AH$1237,3,))*$F45)</f>
        <v>43430579.552675933</v>
      </c>
      <c r="H45" s="404">
        <f t="shared" si="19"/>
        <v>15833936.691142078</v>
      </c>
      <c r="I45" s="404">
        <f t="shared" si="19"/>
        <v>370036.15982398385</v>
      </c>
      <c r="J45" s="404">
        <f t="shared" si="19"/>
        <v>4646206.6221231716</v>
      </c>
      <c r="K45" s="404">
        <f t="shared" si="19"/>
        <v>1705268.2679141101</v>
      </c>
      <c r="L45" s="404">
        <f t="shared" si="19"/>
        <v>174701.10570811891</v>
      </c>
      <c r="M45" s="404">
        <f t="shared" si="19"/>
        <v>1233916.7828890544</v>
      </c>
      <c r="N45" s="404">
        <f t="shared" si="19"/>
        <v>1678362.40660809</v>
      </c>
      <c r="O45" s="404">
        <f t="shared" si="19"/>
        <v>61662.426858254199</v>
      </c>
      <c r="P45" s="404">
        <f t="shared" si="19"/>
        <v>0</v>
      </c>
      <c r="Q45" s="404">
        <f t="shared" si="19"/>
        <v>1137.7330307534503</v>
      </c>
      <c r="R45" s="404">
        <f t="shared" si="19"/>
        <v>74469.798376589475</v>
      </c>
      <c r="S45" s="404"/>
      <c r="T45" s="62">
        <f>SUM(G45:R45)</f>
        <v>69210277.54715015</v>
      </c>
      <c r="U45" s="61" t="str">
        <f>IF(ABS(F45-T45)&lt;0.01,"ok","err")</f>
        <v>ok</v>
      </c>
      <c r="V45" s="62" t="str">
        <f>IF(U45="err",T45-F45,"")</f>
        <v/>
      </c>
    </row>
    <row r="46" spans="1:22" ht="12" customHeight="1" x14ac:dyDescent="0.2">
      <c r="F46" s="73"/>
    </row>
    <row r="47" spans="1:22" ht="12" customHeight="1" x14ac:dyDescent="0.2">
      <c r="A47" s="171" t="s">
        <v>173</v>
      </c>
      <c r="F47" s="73"/>
    </row>
    <row r="48" spans="1:22" ht="12" customHeight="1" x14ac:dyDescent="0.2">
      <c r="A48" s="403" t="s">
        <v>504</v>
      </c>
      <c r="C48" s="55" t="s">
        <v>205</v>
      </c>
      <c r="D48" s="55" t="s">
        <v>192</v>
      </c>
      <c r="E48" s="55" t="s">
        <v>695</v>
      </c>
      <c r="F48" s="404">
        <f>VLOOKUP(C48,'Functional Assignment'!$C$1:$AU$773,28,)</f>
        <v>101650880.2066451</v>
      </c>
      <c r="G48" s="404">
        <f t="shared" ref="G48:R48" si="20">IF(VLOOKUP($E48,$D$5:$AH$1237,3,)=0,0,(VLOOKUP($E48,$D$5:$AH$1237,G$1,)/VLOOKUP($E48,$D$5:$AH$1237,3,))*$F48)</f>
        <v>0</v>
      </c>
      <c r="H48" s="404">
        <f t="shared" si="20"/>
        <v>0</v>
      </c>
      <c r="I48" s="404">
        <f t="shared" si="20"/>
        <v>0</v>
      </c>
      <c r="J48" s="404">
        <f t="shared" si="20"/>
        <v>0</v>
      </c>
      <c r="K48" s="404">
        <f t="shared" si="20"/>
        <v>0</v>
      </c>
      <c r="L48" s="404">
        <f t="shared" si="20"/>
        <v>0</v>
      </c>
      <c r="M48" s="404">
        <f t="shared" si="20"/>
        <v>0</v>
      </c>
      <c r="N48" s="404">
        <f t="shared" si="20"/>
        <v>0</v>
      </c>
      <c r="O48" s="404">
        <f t="shared" si="20"/>
        <v>0</v>
      </c>
      <c r="P48" s="404">
        <f t="shared" si="20"/>
        <v>101650880.20664507</v>
      </c>
      <c r="Q48" s="404">
        <f t="shared" si="20"/>
        <v>0</v>
      </c>
      <c r="R48" s="404">
        <f t="shared" si="20"/>
        <v>0</v>
      </c>
      <c r="S48" s="404"/>
      <c r="T48" s="62">
        <f>SUM(G48:R48)</f>
        <v>101650880.20664507</v>
      </c>
      <c r="U48" s="61" t="str">
        <f>IF(ABS(F48-T48)&lt;0.01,"ok","err")</f>
        <v>ok</v>
      </c>
      <c r="V48" s="62" t="str">
        <f>IF(U48="err",T48-F48,"")</f>
        <v/>
      </c>
    </row>
    <row r="49" spans="1:22" ht="12" customHeight="1" x14ac:dyDescent="0.2">
      <c r="F49" s="73"/>
    </row>
    <row r="50" spans="1:22" ht="12" customHeight="1" x14ac:dyDescent="0.2">
      <c r="A50" s="171" t="s">
        <v>381</v>
      </c>
      <c r="F50" s="73"/>
    </row>
    <row r="51" spans="1:22" ht="12" customHeight="1" x14ac:dyDescent="0.2">
      <c r="A51" s="403" t="s">
        <v>504</v>
      </c>
      <c r="C51" s="55" t="s">
        <v>205</v>
      </c>
      <c r="D51" s="55" t="s">
        <v>193</v>
      </c>
      <c r="E51" s="55" t="s">
        <v>694</v>
      </c>
      <c r="F51" s="404">
        <f>VLOOKUP(C51,'Functional Assignment'!$C$1:$AU$773,30,)</f>
        <v>0</v>
      </c>
      <c r="G51" s="404">
        <f t="shared" ref="G51:R51" si="21">IF(VLOOKUP($E51,$D$5:$AH$1237,3,)=0,0,(VLOOKUP($E51,$D$5:$AH$1237,G$1,)/VLOOKUP($E51,$D$5:$AH$1237,3,))*$F51)</f>
        <v>0</v>
      </c>
      <c r="H51" s="404">
        <f t="shared" si="21"/>
        <v>0</v>
      </c>
      <c r="I51" s="404">
        <f t="shared" si="21"/>
        <v>0</v>
      </c>
      <c r="J51" s="404">
        <f t="shared" si="21"/>
        <v>0</v>
      </c>
      <c r="K51" s="404">
        <f t="shared" si="21"/>
        <v>0</v>
      </c>
      <c r="L51" s="404">
        <f t="shared" si="21"/>
        <v>0</v>
      </c>
      <c r="M51" s="404">
        <f t="shared" si="21"/>
        <v>0</v>
      </c>
      <c r="N51" s="404">
        <f t="shared" si="21"/>
        <v>0</v>
      </c>
      <c r="O51" s="404">
        <f t="shared" si="21"/>
        <v>0</v>
      </c>
      <c r="P51" s="404">
        <f t="shared" si="21"/>
        <v>0</v>
      </c>
      <c r="Q51" s="404">
        <f t="shared" si="21"/>
        <v>0</v>
      </c>
      <c r="R51" s="404">
        <f t="shared" si="21"/>
        <v>0</v>
      </c>
      <c r="S51" s="404"/>
      <c r="T51" s="62">
        <f>SUM(G51:R51)</f>
        <v>0</v>
      </c>
      <c r="U51" s="61" t="str">
        <f>IF(ABS(F51-T51)&lt;0.01,"ok","err")</f>
        <v>ok</v>
      </c>
      <c r="V51" s="62" t="str">
        <f>IF(U51="err",T51-F51,"")</f>
        <v/>
      </c>
    </row>
    <row r="52" spans="1:22" ht="12" customHeight="1" x14ac:dyDescent="0.2">
      <c r="F52" s="73"/>
    </row>
    <row r="53" spans="1:22" ht="12" customHeight="1" x14ac:dyDescent="0.2">
      <c r="A53" s="171" t="s">
        <v>2090</v>
      </c>
      <c r="F53" s="73"/>
    </row>
    <row r="54" spans="1:22" ht="12" customHeight="1" x14ac:dyDescent="0.2">
      <c r="A54" s="403" t="s">
        <v>504</v>
      </c>
      <c r="C54" s="55" t="s">
        <v>205</v>
      </c>
      <c r="D54" s="55" t="s">
        <v>264</v>
      </c>
      <c r="E54" s="55" t="s">
        <v>694</v>
      </c>
      <c r="F54" s="404">
        <f>VLOOKUP(C54,'Functional Assignment'!$C$1:$AU$773,32,)</f>
        <v>0</v>
      </c>
      <c r="G54" s="404">
        <f t="shared" ref="G54:R54" si="22">IF(VLOOKUP($E54,$D$5:$AH$1237,3,)=0,0,(VLOOKUP($E54,$D$5:$AH$1237,G$1,)/VLOOKUP($E54,$D$5:$AH$1237,3,))*$F54)</f>
        <v>0</v>
      </c>
      <c r="H54" s="404">
        <f t="shared" si="22"/>
        <v>0</v>
      </c>
      <c r="I54" s="404">
        <f t="shared" si="22"/>
        <v>0</v>
      </c>
      <c r="J54" s="404">
        <f t="shared" si="22"/>
        <v>0</v>
      </c>
      <c r="K54" s="404">
        <f t="shared" si="22"/>
        <v>0</v>
      </c>
      <c r="L54" s="404">
        <f t="shared" si="22"/>
        <v>0</v>
      </c>
      <c r="M54" s="404">
        <f t="shared" si="22"/>
        <v>0</v>
      </c>
      <c r="N54" s="404">
        <f t="shared" si="22"/>
        <v>0</v>
      </c>
      <c r="O54" s="404">
        <f t="shared" si="22"/>
        <v>0</v>
      </c>
      <c r="P54" s="404">
        <f t="shared" si="22"/>
        <v>0</v>
      </c>
      <c r="Q54" s="404">
        <f t="shared" si="22"/>
        <v>0</v>
      </c>
      <c r="R54" s="404">
        <f t="shared" si="22"/>
        <v>0</v>
      </c>
      <c r="S54" s="404"/>
      <c r="T54" s="62">
        <f>SUM(G54:R54)</f>
        <v>0</v>
      </c>
      <c r="U54" s="61" t="str">
        <f>IF(ABS(F54-T54)&lt;0.01,"ok","err")</f>
        <v>ok</v>
      </c>
      <c r="V54" s="62" t="str">
        <f>IF(U54="err",T54-F54,"")</f>
        <v/>
      </c>
    </row>
    <row r="55" spans="1:22" ht="12" customHeight="1" x14ac:dyDescent="0.2">
      <c r="F55" s="73"/>
    </row>
    <row r="56" spans="1:22" ht="12" customHeight="1" x14ac:dyDescent="0.2">
      <c r="A56" s="171" t="s">
        <v>2089</v>
      </c>
      <c r="F56" s="73"/>
    </row>
    <row r="57" spans="1:22" ht="12" customHeight="1" x14ac:dyDescent="0.2">
      <c r="A57" s="403" t="s">
        <v>504</v>
      </c>
      <c r="C57" s="55" t="s">
        <v>205</v>
      </c>
      <c r="D57" s="55" t="s">
        <v>265</v>
      </c>
      <c r="E57" s="55" t="s">
        <v>697</v>
      </c>
      <c r="F57" s="404">
        <f>VLOOKUP(C57,'Functional Assignment'!$C$1:$AU$773,34,)</f>
        <v>0</v>
      </c>
      <c r="G57" s="404">
        <f t="shared" ref="G57:R57" si="23">IF(VLOOKUP($E57,$D$5:$AH$1237,3,)=0,0,(VLOOKUP($E57,$D$5:$AH$1237,G$1,)/VLOOKUP($E57,$D$5:$AH$1237,3,))*$F57)</f>
        <v>0</v>
      </c>
      <c r="H57" s="404">
        <f t="shared" si="23"/>
        <v>0</v>
      </c>
      <c r="I57" s="404">
        <f t="shared" si="23"/>
        <v>0</v>
      </c>
      <c r="J57" s="404">
        <f t="shared" si="23"/>
        <v>0</v>
      </c>
      <c r="K57" s="404">
        <f t="shared" si="23"/>
        <v>0</v>
      </c>
      <c r="L57" s="404">
        <f t="shared" si="23"/>
        <v>0</v>
      </c>
      <c r="M57" s="404">
        <f t="shared" si="23"/>
        <v>0</v>
      </c>
      <c r="N57" s="404">
        <f t="shared" si="23"/>
        <v>0</v>
      </c>
      <c r="O57" s="404">
        <f t="shared" si="23"/>
        <v>0</v>
      </c>
      <c r="P57" s="404">
        <f t="shared" si="23"/>
        <v>0</v>
      </c>
      <c r="Q57" s="404">
        <f t="shared" si="23"/>
        <v>0</v>
      </c>
      <c r="R57" s="404">
        <f t="shared" si="23"/>
        <v>0</v>
      </c>
      <c r="S57" s="404"/>
      <c r="T57" s="62">
        <f>SUM(G57:R57)</f>
        <v>0</v>
      </c>
      <c r="U57" s="61" t="str">
        <f>IF(ABS(F57-T57)&lt;0.01,"ok","err")</f>
        <v>ok</v>
      </c>
      <c r="V57" s="62" t="str">
        <f>IF(U57="err",T57-F57,"")</f>
        <v/>
      </c>
    </row>
    <row r="58" spans="1:22" ht="12" customHeight="1" x14ac:dyDescent="0.2">
      <c r="F58" s="73"/>
    </row>
    <row r="59" spans="1:22" ht="12" customHeight="1" x14ac:dyDescent="0.2">
      <c r="A59" s="55" t="s">
        <v>82</v>
      </c>
      <c r="D59" s="55" t="s">
        <v>510</v>
      </c>
      <c r="F59" s="404">
        <f>F14+F20+F23+F26+F34+F39+F42+F45+F48+F51+F54+F57</f>
        <v>5653048566.0583563</v>
      </c>
      <c r="G59" s="404">
        <f>G14+G20+G23+G26+G34+G39+G42+G45+G48+G51+G54+G57</f>
        <v>2523320171.2517538</v>
      </c>
      <c r="H59" s="404">
        <f t="shared" ref="H59:R59" si="24">H14+H20+H23+H26+H34+H39+H42+H45+H48+H51+H54+H57</f>
        <v>719659953.50329375</v>
      </c>
      <c r="I59" s="404">
        <f>I14+I20+I23+I26+I34+I39+I42+I45+I48+I51+I54+I57</f>
        <v>42556051.923961051</v>
      </c>
      <c r="J59" s="404">
        <f t="shared" si="24"/>
        <v>745119300.48737013</v>
      </c>
      <c r="K59" s="404">
        <f t="shared" si="24"/>
        <v>165662244.30675846</v>
      </c>
      <c r="L59" s="404">
        <f t="shared" si="24"/>
        <v>114312965.26540123</v>
      </c>
      <c r="M59" s="404">
        <f>M14+M20+M23+M26+M34+M39+M42+M45+M48+M51+M54+M57</f>
        <v>802655135.01963079</v>
      </c>
      <c r="N59" s="404">
        <f>N14+N20+N23+N26+N34+N39+N42+N45+N48+N51+N54+N57</f>
        <v>311981089.87008417</v>
      </c>
      <c r="O59" s="404">
        <f t="shared" si="24"/>
        <v>91983703.590265438</v>
      </c>
      <c r="P59" s="404">
        <f t="shared" si="24"/>
        <v>135319985.50738093</v>
      </c>
      <c r="Q59" s="404">
        <f t="shared" si="24"/>
        <v>8130.4081168647053</v>
      </c>
      <c r="R59" s="404">
        <f t="shared" si="24"/>
        <v>469834.92434100009</v>
      </c>
      <c r="S59" s="404"/>
      <c r="T59" s="62">
        <f>SUM(G59:R59)</f>
        <v>5653048566.0583572</v>
      </c>
      <c r="U59" s="61" t="str">
        <f>IF(ABS(F59-T59)&lt;0.01,"ok","err")</f>
        <v>ok</v>
      </c>
      <c r="V59" s="405" t="str">
        <f>IF(U59="err",T59-F59,"")</f>
        <v/>
      </c>
    </row>
    <row r="63" spans="1:22" ht="12" customHeight="1" x14ac:dyDescent="0.2">
      <c r="A63" s="402" t="s">
        <v>219</v>
      </c>
    </row>
    <row r="65" spans="1:22" ht="12" customHeight="1" x14ac:dyDescent="0.2">
      <c r="A65" s="171" t="s">
        <v>166</v>
      </c>
    </row>
    <row r="66" spans="1:22" ht="12" customHeight="1" x14ac:dyDescent="0.2">
      <c r="A66" s="403" t="s">
        <v>153</v>
      </c>
      <c r="C66" s="55" t="s">
        <v>220</v>
      </c>
      <c r="D66" s="55" t="s">
        <v>266</v>
      </c>
      <c r="E66" s="55" t="s">
        <v>2831</v>
      </c>
      <c r="F66" s="404">
        <f>VLOOKUP(C66,'Functional Assignment'!$C$1:$AU$773,6,)</f>
        <v>913825431.82532501</v>
      </c>
      <c r="G66" s="404">
        <f t="shared" ref="G66:R71" si="25">IF(VLOOKUP($E66,$D$5:$AH$1237,3,)=0,0,(VLOOKUP($E66,$D$5:$AH$1237,G$1,)/VLOOKUP($E66,$D$5:$AH$1237,3,))*$F66)</f>
        <v>305324795.50483227</v>
      </c>
      <c r="H66" s="404">
        <f t="shared" si="25"/>
        <v>96357229.045159608</v>
      </c>
      <c r="I66" s="404">
        <f t="shared" si="25"/>
        <v>8024745.2405376174</v>
      </c>
      <c r="J66" s="404">
        <f t="shared" si="25"/>
        <v>156855077.36448082</v>
      </c>
      <c r="K66" s="404">
        <f t="shared" si="25"/>
        <v>33450212.524443183</v>
      </c>
      <c r="L66" s="404">
        <f t="shared" si="25"/>
        <v>25353435.397652891</v>
      </c>
      <c r="M66" s="404">
        <f t="shared" si="25"/>
        <v>182723434.47235349</v>
      </c>
      <c r="N66" s="404">
        <f t="shared" si="25"/>
        <v>74970150.76132755</v>
      </c>
      <c r="O66" s="404">
        <f t="shared" si="25"/>
        <v>24366189.895168882</v>
      </c>
      <c r="P66" s="404">
        <f t="shared" si="25"/>
        <v>6337465.6499371305</v>
      </c>
      <c r="Q66" s="404">
        <f t="shared" si="25"/>
        <v>2060.8306714741284</v>
      </c>
      <c r="R66" s="404">
        <f t="shared" si="25"/>
        <v>60635.138760096168</v>
      </c>
      <c r="S66" s="404"/>
      <c r="T66" s="62">
        <f t="shared" ref="T66:T72" si="26">SUM(G66:R66)</f>
        <v>913825431.82532489</v>
      </c>
      <c r="U66" s="61" t="str">
        <f t="shared" ref="U66:U72" si="27">IF(ABS(F66-T66)&lt;0.01,"ok","err")</f>
        <v>ok</v>
      </c>
      <c r="V66" s="405" t="str">
        <f t="shared" ref="V66:V72" si="28">IF(U66="err",T66-F66,"")</f>
        <v/>
      </c>
    </row>
    <row r="67" spans="1:22" ht="12" customHeight="1" x14ac:dyDescent="0.2">
      <c r="A67" s="403" t="s">
        <v>157</v>
      </c>
      <c r="C67" s="55" t="s">
        <v>220</v>
      </c>
      <c r="D67" s="55" t="s">
        <v>267</v>
      </c>
      <c r="E67" s="55" t="s">
        <v>59</v>
      </c>
      <c r="F67" s="73">
        <f>VLOOKUP(C67,'Functional Assignment'!$C$1:$AU$773,7,)</f>
        <v>861442900.72552693</v>
      </c>
      <c r="G67" s="73">
        <f t="shared" si="25"/>
        <v>393418653.75454646</v>
      </c>
      <c r="H67" s="73">
        <f t="shared" si="25"/>
        <v>108648531.68788204</v>
      </c>
      <c r="I67" s="73">
        <f t="shared" si="25"/>
        <v>7324915.6191431703</v>
      </c>
      <c r="J67" s="73">
        <f t="shared" si="25"/>
        <v>109166688.84603636</v>
      </c>
      <c r="K67" s="73">
        <f t="shared" si="25"/>
        <v>24241003.815318327</v>
      </c>
      <c r="L67" s="73">
        <f t="shared" si="25"/>
        <v>16235695.145340197</v>
      </c>
      <c r="M67" s="73">
        <f t="shared" si="25"/>
        <v>130178952.39276481</v>
      </c>
      <c r="N67" s="73">
        <f t="shared" si="25"/>
        <v>57999680.895101033</v>
      </c>
      <c r="O67" s="73">
        <f t="shared" si="25"/>
        <v>14195385.285093067</v>
      </c>
      <c r="P67" s="73">
        <f t="shared" si="25"/>
        <v>0</v>
      </c>
      <c r="Q67" s="73">
        <f t="shared" si="25"/>
        <v>0</v>
      </c>
      <c r="R67" s="73">
        <f t="shared" si="25"/>
        <v>33393.284301639083</v>
      </c>
      <c r="S67" s="73"/>
      <c r="T67" s="73">
        <f t="shared" si="26"/>
        <v>861442900.72552717</v>
      </c>
      <c r="U67" s="61" t="str">
        <f t="shared" si="27"/>
        <v>ok</v>
      </c>
      <c r="V67" s="62" t="str">
        <f t="shared" si="28"/>
        <v/>
      </c>
    </row>
    <row r="68" spans="1:22" ht="12" customHeight="1" x14ac:dyDescent="0.2">
      <c r="A68" s="403" t="s">
        <v>154</v>
      </c>
      <c r="C68" s="55" t="s">
        <v>220</v>
      </c>
      <c r="D68" s="55" t="s">
        <v>268</v>
      </c>
      <c r="E68" s="55" t="s">
        <v>62</v>
      </c>
      <c r="F68" s="73">
        <f>VLOOKUP(C68,'Functional Assignment'!$C$1:$AU$773,8,)</f>
        <v>884707805.92906845</v>
      </c>
      <c r="G68" s="73">
        <f t="shared" si="25"/>
        <v>352216218.30420417</v>
      </c>
      <c r="H68" s="73">
        <f t="shared" si="25"/>
        <v>106903002.97412035</v>
      </c>
      <c r="I68" s="73">
        <f t="shared" si="25"/>
        <v>6104754.0077223238</v>
      </c>
      <c r="J68" s="73">
        <f t="shared" si="25"/>
        <v>138668016.36190411</v>
      </c>
      <c r="K68" s="73">
        <f t="shared" si="25"/>
        <v>35110946.582646012</v>
      </c>
      <c r="L68" s="73">
        <f t="shared" si="25"/>
        <v>21697744.679910652</v>
      </c>
      <c r="M68" s="73">
        <f t="shared" si="25"/>
        <v>144340056.01929614</v>
      </c>
      <c r="N68" s="73">
        <f t="shared" si="25"/>
        <v>60795369.355830587</v>
      </c>
      <c r="O68" s="73">
        <f t="shared" si="25"/>
        <v>18838154.848154295</v>
      </c>
      <c r="P68" s="73">
        <f t="shared" si="25"/>
        <v>0</v>
      </c>
      <c r="Q68" s="73">
        <f t="shared" si="25"/>
        <v>0</v>
      </c>
      <c r="R68" s="73">
        <f t="shared" si="25"/>
        <v>33542.795280019178</v>
      </c>
      <c r="S68" s="73"/>
      <c r="T68" s="73">
        <f t="shared" si="26"/>
        <v>884707805.92906857</v>
      </c>
      <c r="U68" s="61" t="str">
        <f t="shared" si="27"/>
        <v>ok</v>
      </c>
      <c r="V68" s="62" t="str">
        <f t="shared" si="28"/>
        <v/>
      </c>
    </row>
    <row r="69" spans="1:22" ht="12" customHeight="1" x14ac:dyDescent="0.2">
      <c r="A69" s="403" t="s">
        <v>155</v>
      </c>
      <c r="C69" s="55" t="s">
        <v>220</v>
      </c>
      <c r="D69" s="55" t="s">
        <v>269</v>
      </c>
      <c r="E69" s="55" t="s">
        <v>502</v>
      </c>
      <c r="F69" s="73">
        <f>VLOOKUP(C69,'Functional Assignment'!$C$1:$AU$773,9,)</f>
        <v>0</v>
      </c>
      <c r="G69" s="73">
        <f t="shared" si="25"/>
        <v>0</v>
      </c>
      <c r="H69" s="73">
        <f t="shared" si="25"/>
        <v>0</v>
      </c>
      <c r="I69" s="73">
        <f t="shared" si="25"/>
        <v>0</v>
      </c>
      <c r="J69" s="73">
        <f t="shared" si="25"/>
        <v>0</v>
      </c>
      <c r="K69" s="73">
        <f t="shared" si="25"/>
        <v>0</v>
      </c>
      <c r="L69" s="73">
        <f t="shared" si="25"/>
        <v>0</v>
      </c>
      <c r="M69" s="73">
        <f t="shared" si="25"/>
        <v>0</v>
      </c>
      <c r="N69" s="73">
        <f t="shared" si="25"/>
        <v>0</v>
      </c>
      <c r="O69" s="73">
        <f t="shared" si="25"/>
        <v>0</v>
      </c>
      <c r="P69" s="73">
        <f t="shared" si="25"/>
        <v>0</v>
      </c>
      <c r="Q69" s="73">
        <f t="shared" si="25"/>
        <v>0</v>
      </c>
      <c r="R69" s="73">
        <f t="shared" si="25"/>
        <v>0</v>
      </c>
      <c r="S69" s="73"/>
      <c r="T69" s="73">
        <f t="shared" si="26"/>
        <v>0</v>
      </c>
      <c r="U69" s="61" t="str">
        <f t="shared" si="27"/>
        <v>ok</v>
      </c>
      <c r="V69" s="62" t="str">
        <f t="shared" si="28"/>
        <v/>
      </c>
    </row>
    <row r="70" spans="1:22" ht="12" customHeight="1" x14ac:dyDescent="0.2">
      <c r="A70" s="403" t="s">
        <v>158</v>
      </c>
      <c r="C70" s="55" t="s">
        <v>220</v>
      </c>
      <c r="D70" s="55" t="s">
        <v>270</v>
      </c>
      <c r="E70" s="55" t="s">
        <v>502</v>
      </c>
      <c r="F70" s="73">
        <f>VLOOKUP(C70,'Functional Assignment'!$C$1:$AU$773,10,)</f>
        <v>0</v>
      </c>
      <c r="G70" s="73">
        <f t="shared" si="25"/>
        <v>0</v>
      </c>
      <c r="H70" s="73">
        <f t="shared" si="25"/>
        <v>0</v>
      </c>
      <c r="I70" s="73">
        <f t="shared" si="25"/>
        <v>0</v>
      </c>
      <c r="J70" s="73">
        <f t="shared" si="25"/>
        <v>0</v>
      </c>
      <c r="K70" s="73">
        <f t="shared" si="25"/>
        <v>0</v>
      </c>
      <c r="L70" s="73">
        <f t="shared" si="25"/>
        <v>0</v>
      </c>
      <c r="M70" s="73">
        <f t="shared" si="25"/>
        <v>0</v>
      </c>
      <c r="N70" s="73">
        <f t="shared" si="25"/>
        <v>0</v>
      </c>
      <c r="O70" s="73">
        <f t="shared" si="25"/>
        <v>0</v>
      </c>
      <c r="P70" s="73">
        <f t="shared" si="25"/>
        <v>0</v>
      </c>
      <c r="Q70" s="73">
        <f t="shared" si="25"/>
        <v>0</v>
      </c>
      <c r="R70" s="73">
        <f t="shared" si="25"/>
        <v>0</v>
      </c>
      <c r="S70" s="73"/>
      <c r="T70" s="73">
        <f t="shared" si="26"/>
        <v>0</v>
      </c>
      <c r="U70" s="61" t="str">
        <f t="shared" si="27"/>
        <v>ok</v>
      </c>
      <c r="V70" s="62" t="str">
        <f t="shared" si="28"/>
        <v/>
      </c>
    </row>
    <row r="71" spans="1:22" ht="12" customHeight="1" x14ac:dyDescent="0.2">
      <c r="A71" s="403" t="s">
        <v>156</v>
      </c>
      <c r="C71" s="55" t="s">
        <v>220</v>
      </c>
      <c r="D71" s="55" t="s">
        <v>271</v>
      </c>
      <c r="E71" s="55" t="s">
        <v>502</v>
      </c>
      <c r="F71" s="73">
        <f>VLOOKUP(C71,'Functional Assignment'!$C$1:$AU$773,11,)</f>
        <v>0</v>
      </c>
      <c r="G71" s="73">
        <f t="shared" si="25"/>
        <v>0</v>
      </c>
      <c r="H71" s="73">
        <f t="shared" si="25"/>
        <v>0</v>
      </c>
      <c r="I71" s="73">
        <f t="shared" si="25"/>
        <v>0</v>
      </c>
      <c r="J71" s="73">
        <f t="shared" si="25"/>
        <v>0</v>
      </c>
      <c r="K71" s="73">
        <f t="shared" si="25"/>
        <v>0</v>
      </c>
      <c r="L71" s="73">
        <f t="shared" si="25"/>
        <v>0</v>
      </c>
      <c r="M71" s="73">
        <f t="shared" si="25"/>
        <v>0</v>
      </c>
      <c r="N71" s="73">
        <f t="shared" si="25"/>
        <v>0</v>
      </c>
      <c r="O71" s="73">
        <f t="shared" si="25"/>
        <v>0</v>
      </c>
      <c r="P71" s="73">
        <f t="shared" si="25"/>
        <v>0</v>
      </c>
      <c r="Q71" s="73">
        <f t="shared" si="25"/>
        <v>0</v>
      </c>
      <c r="R71" s="73">
        <f t="shared" si="25"/>
        <v>0</v>
      </c>
      <c r="S71" s="73"/>
      <c r="T71" s="73">
        <f t="shared" si="26"/>
        <v>0</v>
      </c>
      <c r="U71" s="61" t="str">
        <f t="shared" si="27"/>
        <v>ok</v>
      </c>
      <c r="V71" s="62" t="str">
        <f t="shared" si="28"/>
        <v/>
      </c>
    </row>
    <row r="72" spans="1:22" ht="12" customHeight="1" x14ac:dyDescent="0.2">
      <c r="A72" s="55" t="s">
        <v>189</v>
      </c>
      <c r="D72" s="55" t="s">
        <v>272</v>
      </c>
      <c r="F72" s="404">
        <f t="shared" ref="F72:R72" si="29">SUM(F66:F71)</f>
        <v>2659976138.4799204</v>
      </c>
      <c r="G72" s="404">
        <f t="shared" si="29"/>
        <v>1050959667.5635829</v>
      </c>
      <c r="H72" s="404">
        <f t="shared" si="29"/>
        <v>311908763.70716202</v>
      </c>
      <c r="I72" s="404">
        <f>SUM(I66:I71)</f>
        <v>21454414.867403112</v>
      </c>
      <c r="J72" s="404">
        <f t="shared" si="29"/>
        <v>404689782.57242131</v>
      </c>
      <c r="K72" s="404">
        <f t="shared" si="29"/>
        <v>92802162.922407523</v>
      </c>
      <c r="L72" s="404">
        <f t="shared" si="29"/>
        <v>63286875.222903736</v>
      </c>
      <c r="M72" s="404">
        <f t="shared" si="29"/>
        <v>457242442.88441443</v>
      </c>
      <c r="N72" s="404">
        <f>SUM(N66:N71)</f>
        <v>193765201.01225916</v>
      </c>
      <c r="O72" s="404">
        <f t="shared" si="29"/>
        <v>57399730.028416246</v>
      </c>
      <c r="P72" s="404">
        <f t="shared" si="29"/>
        <v>6337465.6499371305</v>
      </c>
      <c r="Q72" s="404">
        <f t="shared" si="29"/>
        <v>2060.8306714741284</v>
      </c>
      <c r="R72" s="404">
        <f t="shared" si="29"/>
        <v>127571.21834175443</v>
      </c>
      <c r="S72" s="404"/>
      <c r="T72" s="62">
        <f t="shared" si="26"/>
        <v>2659976138.4799204</v>
      </c>
      <c r="U72" s="61" t="str">
        <f t="shared" si="27"/>
        <v>ok</v>
      </c>
      <c r="V72" s="405" t="str">
        <f t="shared" si="28"/>
        <v/>
      </c>
    </row>
    <row r="73" spans="1:22" ht="12" customHeight="1" x14ac:dyDescent="0.2">
      <c r="F73" s="73"/>
      <c r="G73" s="73"/>
    </row>
    <row r="74" spans="1:22" ht="12" customHeight="1" x14ac:dyDescent="0.2">
      <c r="A74" s="171" t="s">
        <v>554</v>
      </c>
      <c r="F74" s="73"/>
      <c r="G74" s="73"/>
    </row>
    <row r="75" spans="1:22" ht="12" customHeight="1" x14ac:dyDescent="0.2">
      <c r="A75" s="403" t="s">
        <v>159</v>
      </c>
      <c r="C75" s="55" t="s">
        <v>220</v>
      </c>
      <c r="D75" s="55" t="s">
        <v>273</v>
      </c>
      <c r="E75" s="55" t="s">
        <v>2831</v>
      </c>
      <c r="F75" s="404">
        <f>VLOOKUP(C75,'Functional Assignment'!$C$1:$AU$773,13,)</f>
        <v>111793338.94002678</v>
      </c>
      <c r="G75" s="404">
        <f t="shared" ref="G75:R77" si="30">IF(VLOOKUP($E75,$D$5:$AH$1237,3,)=0,0,(VLOOKUP($E75,$D$5:$AH$1237,G$1,)/VLOOKUP($E75,$D$5:$AH$1237,3,))*$F75)</f>
        <v>37352077.49962309</v>
      </c>
      <c r="H75" s="404">
        <f t="shared" si="30"/>
        <v>11787914.836699769</v>
      </c>
      <c r="I75" s="404">
        <f t="shared" si="30"/>
        <v>981711.64134800422</v>
      </c>
      <c r="J75" s="404">
        <f t="shared" si="30"/>
        <v>19188952.52591674</v>
      </c>
      <c r="K75" s="404">
        <f t="shared" si="30"/>
        <v>4092150.2248974415</v>
      </c>
      <c r="L75" s="404">
        <f t="shared" si="30"/>
        <v>3101626.522958992</v>
      </c>
      <c r="M75" s="404">
        <f t="shared" si="30"/>
        <v>22353572.280704696</v>
      </c>
      <c r="N75" s="404">
        <f t="shared" si="30"/>
        <v>9171514.802017495</v>
      </c>
      <c r="O75" s="404">
        <f t="shared" si="30"/>
        <v>2980851.2991224676</v>
      </c>
      <c r="P75" s="404">
        <f t="shared" si="30"/>
        <v>775297.36068849498</v>
      </c>
      <c r="Q75" s="404">
        <f t="shared" si="30"/>
        <v>252.11285846348386</v>
      </c>
      <c r="R75" s="404">
        <f t="shared" si="30"/>
        <v>7417.8331911194782</v>
      </c>
      <c r="S75" s="404"/>
      <c r="T75" s="62">
        <f>SUM(G75:R75)</f>
        <v>111793338.94002678</v>
      </c>
      <c r="U75" s="61" t="str">
        <f>IF(ABS(F75-T75)&lt;0.01,"ok","err")</f>
        <v>ok</v>
      </c>
      <c r="V75" s="405" t="str">
        <f>IF(U75="err",T75-F75,"")</f>
        <v/>
      </c>
    </row>
    <row r="76" spans="1:22" ht="12" customHeight="1" x14ac:dyDescent="0.2">
      <c r="A76" s="403" t="s">
        <v>161</v>
      </c>
      <c r="C76" s="55" t="s">
        <v>220</v>
      </c>
      <c r="D76" s="55" t="s">
        <v>274</v>
      </c>
      <c r="E76" s="55" t="s">
        <v>59</v>
      </c>
      <c r="F76" s="73">
        <f>VLOOKUP(C76,'Functional Assignment'!$C$1:$AU$773,14,)</f>
        <v>105385093.06523307</v>
      </c>
      <c r="G76" s="73">
        <f t="shared" si="30"/>
        <v>48129088.305913985</v>
      </c>
      <c r="H76" s="73">
        <f t="shared" si="30"/>
        <v>13291578.134412592</v>
      </c>
      <c r="I76" s="73">
        <f t="shared" si="30"/>
        <v>896097.59807439288</v>
      </c>
      <c r="J76" s="73">
        <f t="shared" si="30"/>
        <v>13354967.176551683</v>
      </c>
      <c r="K76" s="73">
        <f t="shared" si="30"/>
        <v>2965536.5908993101</v>
      </c>
      <c r="L76" s="73">
        <f t="shared" si="30"/>
        <v>1986202.7331461967</v>
      </c>
      <c r="M76" s="73">
        <f t="shared" si="30"/>
        <v>15925514.043347126</v>
      </c>
      <c r="N76" s="73">
        <f t="shared" si="30"/>
        <v>7095422.9975499501</v>
      </c>
      <c r="O76" s="73">
        <f t="shared" si="30"/>
        <v>1736600.2994585279</v>
      </c>
      <c r="P76" s="73">
        <f t="shared" si="30"/>
        <v>0</v>
      </c>
      <c r="Q76" s="73">
        <f t="shared" si="30"/>
        <v>0</v>
      </c>
      <c r="R76" s="73">
        <f t="shared" si="30"/>
        <v>4085.1858793172582</v>
      </c>
      <c r="S76" s="73"/>
      <c r="T76" s="73">
        <f>SUM(G76:R76)</f>
        <v>105385093.06523307</v>
      </c>
      <c r="U76" s="61" t="str">
        <f>IF(ABS(F76-T76)&lt;0.01,"ok","err")</f>
        <v>ok</v>
      </c>
      <c r="V76" s="62" t="str">
        <f>IF(U76="err",T76-F76,"")</f>
        <v/>
      </c>
    </row>
    <row r="77" spans="1:22" ht="12" customHeight="1" x14ac:dyDescent="0.2">
      <c r="A77" s="403" t="s">
        <v>160</v>
      </c>
      <c r="C77" s="55" t="s">
        <v>220</v>
      </c>
      <c r="D77" s="55" t="s">
        <v>275</v>
      </c>
      <c r="E77" s="55" t="s">
        <v>62</v>
      </c>
      <c r="F77" s="73">
        <f>VLOOKUP(C77,'Functional Assignment'!$C$1:$AU$773,15,)</f>
        <v>108231218.09332733</v>
      </c>
      <c r="G77" s="73">
        <f t="shared" si="30"/>
        <v>43088565.60755343</v>
      </c>
      <c r="H77" s="73">
        <f t="shared" si="30"/>
        <v>13078037.915098134</v>
      </c>
      <c r="I77" s="73">
        <f t="shared" si="30"/>
        <v>746828.45340338571</v>
      </c>
      <c r="J77" s="73">
        <f t="shared" si="30"/>
        <v>16964028.372818056</v>
      </c>
      <c r="K77" s="73">
        <f t="shared" si="30"/>
        <v>4295317.043189059</v>
      </c>
      <c r="L77" s="73">
        <f t="shared" si="30"/>
        <v>2654405.5798384398</v>
      </c>
      <c r="M77" s="73">
        <f t="shared" si="30"/>
        <v>17657920.477170546</v>
      </c>
      <c r="N77" s="73">
        <f t="shared" si="30"/>
        <v>7437435.0895495974</v>
      </c>
      <c r="O77" s="73">
        <f t="shared" si="30"/>
        <v>2304576.0783192706</v>
      </c>
      <c r="P77" s="73">
        <f t="shared" si="30"/>
        <v>0</v>
      </c>
      <c r="Q77" s="73">
        <f t="shared" si="30"/>
        <v>0</v>
      </c>
      <c r="R77" s="73">
        <f t="shared" si="30"/>
        <v>4103.4763874375176</v>
      </c>
      <c r="S77" s="73"/>
      <c r="T77" s="73">
        <f>SUM(G77:R77)</f>
        <v>108231218.09332736</v>
      </c>
      <c r="U77" s="61" t="str">
        <f>IF(ABS(F77-T77)&lt;0.01,"ok","err")</f>
        <v>ok</v>
      </c>
      <c r="V77" s="62" t="str">
        <f>IF(U77="err",T77-F77,"")</f>
        <v/>
      </c>
    </row>
    <row r="78" spans="1:22" ht="12" customHeight="1" x14ac:dyDescent="0.2">
      <c r="A78" s="55" t="s">
        <v>556</v>
      </c>
      <c r="D78" s="55" t="s">
        <v>276</v>
      </c>
      <c r="F78" s="404">
        <f t="shared" ref="F78:R78" si="31">SUM(F75:F77)</f>
        <v>325409650.09858716</v>
      </c>
      <c r="G78" s="404">
        <f t="shared" si="31"/>
        <v>128569731.4130905</v>
      </c>
      <c r="H78" s="404">
        <f t="shared" si="31"/>
        <v>38157530.886210501</v>
      </c>
      <c r="I78" s="404">
        <f>SUM(I75:I77)</f>
        <v>2624637.692825783</v>
      </c>
      <c r="J78" s="404">
        <f t="shared" si="31"/>
        <v>49507948.075286478</v>
      </c>
      <c r="K78" s="404">
        <f t="shared" si="31"/>
        <v>11353003.858985811</v>
      </c>
      <c r="L78" s="404">
        <f t="shared" si="31"/>
        <v>7742234.8359436281</v>
      </c>
      <c r="M78" s="404">
        <f t="shared" si="31"/>
        <v>55937006.801222369</v>
      </c>
      <c r="N78" s="404">
        <f>SUM(N75:N77)</f>
        <v>23704372.889117043</v>
      </c>
      <c r="O78" s="404">
        <f t="shared" si="31"/>
        <v>7022027.6769002657</v>
      </c>
      <c r="P78" s="404">
        <f t="shared" si="31"/>
        <v>775297.36068849498</v>
      </c>
      <c r="Q78" s="404">
        <f t="shared" si="31"/>
        <v>252.11285846348386</v>
      </c>
      <c r="R78" s="404">
        <f t="shared" si="31"/>
        <v>15606.495457874254</v>
      </c>
      <c r="S78" s="404"/>
      <c r="T78" s="62">
        <f>SUM(G78:R78)</f>
        <v>325409650.09858727</v>
      </c>
      <c r="U78" s="61" t="str">
        <f>IF(ABS(F78-T78)&lt;0.01,"ok","err")</f>
        <v>ok</v>
      </c>
      <c r="V78" s="405" t="str">
        <f>IF(U78="err",T78-F78,"")</f>
        <v/>
      </c>
    </row>
    <row r="79" spans="1:22" ht="12" customHeight="1" x14ac:dyDescent="0.2">
      <c r="F79" s="73"/>
      <c r="G79" s="73"/>
    </row>
    <row r="80" spans="1:22" ht="12" customHeight="1" x14ac:dyDescent="0.2">
      <c r="A80" s="171" t="s">
        <v>2087</v>
      </c>
      <c r="F80" s="73"/>
      <c r="G80" s="73"/>
    </row>
    <row r="81" spans="1:22" ht="12" customHeight="1" x14ac:dyDescent="0.2">
      <c r="A81" s="403" t="s">
        <v>174</v>
      </c>
      <c r="C81" s="55" t="s">
        <v>220</v>
      </c>
      <c r="D81" s="55" t="s">
        <v>277</v>
      </c>
      <c r="E81" s="55" t="s">
        <v>2730</v>
      </c>
      <c r="F81" s="404">
        <f>VLOOKUP(C81,'Functional Assignment'!$C$1:$AU$773,17,)</f>
        <v>0</v>
      </c>
      <c r="G81" s="404">
        <f t="shared" ref="G81:R81" si="32">IF(VLOOKUP($E81,$D$5:$AH$1237,3,)=0,0,(VLOOKUP($E81,$D$5:$AH$1237,G$1,)/VLOOKUP($E81,$D$5:$AH$1237,3,))*$F81)</f>
        <v>0</v>
      </c>
      <c r="H81" s="404">
        <f t="shared" si="32"/>
        <v>0</v>
      </c>
      <c r="I81" s="404">
        <f t="shared" si="32"/>
        <v>0</v>
      </c>
      <c r="J81" s="404">
        <f t="shared" si="32"/>
        <v>0</v>
      </c>
      <c r="K81" s="404">
        <f t="shared" si="32"/>
        <v>0</v>
      </c>
      <c r="L81" s="404">
        <f t="shared" si="32"/>
        <v>0</v>
      </c>
      <c r="M81" s="404">
        <f t="shared" si="32"/>
        <v>0</v>
      </c>
      <c r="N81" s="404">
        <f t="shared" si="32"/>
        <v>0</v>
      </c>
      <c r="O81" s="404">
        <f t="shared" si="32"/>
        <v>0</v>
      </c>
      <c r="P81" s="404">
        <f t="shared" si="32"/>
        <v>0</v>
      </c>
      <c r="Q81" s="404">
        <f t="shared" si="32"/>
        <v>0</v>
      </c>
      <c r="R81" s="404">
        <f t="shared" si="32"/>
        <v>0</v>
      </c>
      <c r="S81" s="404"/>
      <c r="T81" s="62">
        <f>SUM(G81:R81)</f>
        <v>0</v>
      </c>
      <c r="U81" s="61" t="str">
        <f>IF(ABS(F81-T81)&lt;0.01,"ok","err")</f>
        <v>ok</v>
      </c>
      <c r="V81" s="62" t="str">
        <f>IF(U81="err",T81-F81,"")</f>
        <v/>
      </c>
    </row>
    <row r="82" spans="1:22" ht="12" customHeight="1" x14ac:dyDescent="0.2">
      <c r="F82" s="73"/>
    </row>
    <row r="83" spans="1:22" ht="12" customHeight="1" x14ac:dyDescent="0.2">
      <c r="A83" s="171" t="s">
        <v>2088</v>
      </c>
      <c r="F83" s="73"/>
      <c r="G83" s="73"/>
    </row>
    <row r="84" spans="1:22" ht="12" customHeight="1" x14ac:dyDescent="0.2">
      <c r="A84" s="403" t="s">
        <v>176</v>
      </c>
      <c r="C84" s="55" t="s">
        <v>220</v>
      </c>
      <c r="D84" s="55" t="s">
        <v>278</v>
      </c>
      <c r="E84" s="55" t="s">
        <v>2729</v>
      </c>
      <c r="F84" s="404">
        <f>VLOOKUP(C84,'Functional Assignment'!$C$1:$AU$773,18,)</f>
        <v>95128327.240198299</v>
      </c>
      <c r="G84" s="404">
        <f t="shared" ref="G84:R84" si="33">IF(VLOOKUP($E84,$D$5:$AH$1237,3,)=0,0,(VLOOKUP($E84,$D$5:$AH$1237,G$1,)/VLOOKUP($E84,$D$5:$AH$1237,3,))*$F84)</f>
        <v>43030602.692006119</v>
      </c>
      <c r="H84" s="404">
        <f t="shared" si="33"/>
        <v>13192375.091846922</v>
      </c>
      <c r="I84" s="404">
        <f t="shared" si="33"/>
        <v>1242356.6271554227</v>
      </c>
      <c r="J84" s="404">
        <f t="shared" si="33"/>
        <v>14567690.475991631</v>
      </c>
      <c r="K84" s="404">
        <f t="shared" si="33"/>
        <v>3632999.4063051515</v>
      </c>
      <c r="L84" s="404">
        <f t="shared" si="33"/>
        <v>2154762.2284480999</v>
      </c>
      <c r="M84" s="404">
        <f t="shared" si="33"/>
        <v>16570648.392315317</v>
      </c>
      <c r="N84" s="404">
        <f t="shared" si="33"/>
        <v>0</v>
      </c>
      <c r="O84" s="404">
        <f t="shared" si="33"/>
        <v>0</v>
      </c>
      <c r="P84" s="404">
        <f t="shared" si="33"/>
        <v>733020.35770332289</v>
      </c>
      <c r="Q84" s="404">
        <f t="shared" si="33"/>
        <v>238.39596776539841</v>
      </c>
      <c r="R84" s="404">
        <f t="shared" si="33"/>
        <v>3633.5724585449893</v>
      </c>
      <c r="S84" s="404"/>
      <c r="T84" s="62">
        <f>SUM(G84:R84)</f>
        <v>95128327.240198299</v>
      </c>
      <c r="U84" s="61" t="str">
        <f>IF(ABS(F84-T84)&lt;0.01,"ok","err")</f>
        <v>ok</v>
      </c>
      <c r="V84" s="62" t="str">
        <f>IF(U84="err",T84-F84,"")</f>
        <v/>
      </c>
    </row>
    <row r="85" spans="1:22" ht="12" customHeight="1" x14ac:dyDescent="0.2">
      <c r="F85" s="73"/>
    </row>
    <row r="86" spans="1:22" ht="12" customHeight="1" x14ac:dyDescent="0.2">
      <c r="A86" s="171" t="s">
        <v>175</v>
      </c>
      <c r="F86" s="73"/>
    </row>
    <row r="87" spans="1:22" ht="12" customHeight="1" x14ac:dyDescent="0.2">
      <c r="A87" s="403" t="s">
        <v>1010</v>
      </c>
      <c r="C87" s="55" t="s">
        <v>220</v>
      </c>
      <c r="D87" s="55" t="s">
        <v>279</v>
      </c>
      <c r="E87" s="55" t="s">
        <v>2730</v>
      </c>
      <c r="F87" s="404">
        <f>VLOOKUP(C87,'Functional Assignment'!$C$1:$AU$773,19,)</f>
        <v>0</v>
      </c>
      <c r="G87" s="404">
        <f t="shared" ref="G87:R91" si="34">IF(VLOOKUP($E87,$D$5:$AH$1237,3,)=0,0,(VLOOKUP($E87,$D$5:$AH$1237,G$1,)/VLOOKUP($E87,$D$5:$AH$1237,3,))*$F87)</f>
        <v>0</v>
      </c>
      <c r="H87" s="404">
        <f t="shared" si="34"/>
        <v>0</v>
      </c>
      <c r="I87" s="404">
        <f t="shared" si="34"/>
        <v>0</v>
      </c>
      <c r="J87" s="404">
        <f t="shared" si="34"/>
        <v>0</v>
      </c>
      <c r="K87" s="404">
        <f t="shared" si="34"/>
        <v>0</v>
      </c>
      <c r="L87" s="404">
        <f t="shared" si="34"/>
        <v>0</v>
      </c>
      <c r="M87" s="404">
        <f t="shared" si="34"/>
        <v>0</v>
      </c>
      <c r="N87" s="404">
        <f t="shared" si="34"/>
        <v>0</v>
      </c>
      <c r="O87" s="404">
        <f t="shared" si="34"/>
        <v>0</v>
      </c>
      <c r="P87" s="404">
        <f t="shared" si="34"/>
        <v>0</v>
      </c>
      <c r="Q87" s="404">
        <f t="shared" si="34"/>
        <v>0</v>
      </c>
      <c r="R87" s="404">
        <f t="shared" si="34"/>
        <v>0</v>
      </c>
      <c r="S87" s="404"/>
      <c r="T87" s="62">
        <f t="shared" ref="T87:T92" si="35">SUM(G87:R87)</f>
        <v>0</v>
      </c>
      <c r="U87" s="61" t="str">
        <f t="shared" ref="U87:U92" si="36">IF(ABS(F87-T87)&lt;0.01,"ok","err")</f>
        <v>ok</v>
      </c>
      <c r="V87" s="62" t="str">
        <f t="shared" ref="V87:V92" si="37">IF(U87="err",T87-F87,"")</f>
        <v/>
      </c>
    </row>
    <row r="88" spans="1:22" ht="12" customHeight="1" x14ac:dyDescent="0.2">
      <c r="A88" s="403" t="s">
        <v>1011</v>
      </c>
      <c r="C88" s="55" t="s">
        <v>220</v>
      </c>
      <c r="D88" s="55" t="s">
        <v>280</v>
      </c>
      <c r="E88" s="55" t="s">
        <v>2730</v>
      </c>
      <c r="F88" s="73">
        <f>VLOOKUP(C88,'Functional Assignment'!$C$1:$AU$773,20,)</f>
        <v>154073246.97302824</v>
      </c>
      <c r="G88" s="73">
        <f t="shared" si="34"/>
        <v>69693905.782904759</v>
      </c>
      <c r="H88" s="73">
        <f t="shared" si="34"/>
        <v>21366843.343672778</v>
      </c>
      <c r="I88" s="73">
        <f t="shared" si="34"/>
        <v>2012165.3034114344</v>
      </c>
      <c r="J88" s="73">
        <f t="shared" si="34"/>
        <v>23594353.413434532</v>
      </c>
      <c r="K88" s="73">
        <f t="shared" si="34"/>
        <v>5884135.9983883575</v>
      </c>
      <c r="L88" s="73">
        <f t="shared" si="34"/>
        <v>3489930.1041377671</v>
      </c>
      <c r="M88" s="73">
        <f t="shared" si="34"/>
        <v>26838415.814943004</v>
      </c>
      <c r="N88" s="73">
        <f t="shared" si="34"/>
        <v>0</v>
      </c>
      <c r="O88" s="73">
        <f t="shared" si="34"/>
        <v>0</v>
      </c>
      <c r="P88" s="73">
        <f t="shared" si="34"/>
        <v>1187226.033350843</v>
      </c>
      <c r="Q88" s="73">
        <f t="shared" si="34"/>
        <v>386.1146504358079</v>
      </c>
      <c r="R88" s="73">
        <f t="shared" si="34"/>
        <v>5885.0641343268144</v>
      </c>
      <c r="S88" s="73"/>
      <c r="T88" s="73">
        <f t="shared" si="35"/>
        <v>154073246.97302824</v>
      </c>
      <c r="U88" s="61" t="str">
        <f t="shared" si="36"/>
        <v>ok</v>
      </c>
      <c r="V88" s="62" t="str">
        <f t="shared" si="37"/>
        <v/>
      </c>
    </row>
    <row r="89" spans="1:22" ht="12" customHeight="1" x14ac:dyDescent="0.2">
      <c r="A89" s="403" t="s">
        <v>1012</v>
      </c>
      <c r="C89" s="55" t="s">
        <v>220</v>
      </c>
      <c r="D89" s="55" t="s">
        <v>281</v>
      </c>
      <c r="E89" s="55" t="s">
        <v>699</v>
      </c>
      <c r="F89" s="73">
        <f>VLOOKUP(C89,'Functional Assignment'!$C$1:$AU$773,21,)</f>
        <v>220525140.30019194</v>
      </c>
      <c r="G89" s="73">
        <f t="shared" si="34"/>
        <v>175427628.57860553</v>
      </c>
      <c r="H89" s="73">
        <f t="shared" si="34"/>
        <v>34286976.603630319</v>
      </c>
      <c r="I89" s="73">
        <f t="shared" si="34"/>
        <v>268634.0269301965</v>
      </c>
      <c r="J89" s="73">
        <f t="shared" si="34"/>
        <v>2350861.0723735853</v>
      </c>
      <c r="K89" s="73">
        <f t="shared" si="34"/>
        <v>124499.12912161517</v>
      </c>
      <c r="L89" s="73">
        <f t="shared" si="34"/>
        <v>57236.176810943878</v>
      </c>
      <c r="M89" s="73">
        <f t="shared" si="34"/>
        <v>69769.646185603124</v>
      </c>
      <c r="N89" s="73">
        <f t="shared" si="34"/>
        <v>0</v>
      </c>
      <c r="O89" s="73">
        <f t="shared" si="34"/>
        <v>0</v>
      </c>
      <c r="P89" s="73">
        <f t="shared" si="34"/>
        <v>7905694.6992225628</v>
      </c>
      <c r="Q89" s="73">
        <f t="shared" si="34"/>
        <v>417.78231248864148</v>
      </c>
      <c r="R89" s="73">
        <f t="shared" si="34"/>
        <v>33422.584999091319</v>
      </c>
      <c r="S89" s="73"/>
      <c r="T89" s="73">
        <f t="shared" si="35"/>
        <v>220525140.30019191</v>
      </c>
      <c r="U89" s="61" t="str">
        <f t="shared" si="36"/>
        <v>ok</v>
      </c>
      <c r="V89" s="62" t="str">
        <f t="shared" si="37"/>
        <v/>
      </c>
    </row>
    <row r="90" spans="1:22" ht="12" customHeight="1" x14ac:dyDescent="0.2">
      <c r="A90" s="403" t="s">
        <v>1013</v>
      </c>
      <c r="C90" s="55" t="s">
        <v>220</v>
      </c>
      <c r="D90" s="55" t="s">
        <v>282</v>
      </c>
      <c r="E90" s="55" t="s">
        <v>909</v>
      </c>
      <c r="F90" s="73">
        <f>VLOOKUP(C90,'Functional Assignment'!$C$1:$AU$773,22,)</f>
        <v>27189396.524652041</v>
      </c>
      <c r="G90" s="73">
        <f t="shared" si="34"/>
        <v>18622893.185333226</v>
      </c>
      <c r="H90" s="73">
        <f t="shared" si="34"/>
        <v>4327554.5355796702</v>
      </c>
      <c r="I90" s="73">
        <f t="shared" si="34"/>
        <v>254092.67134120333</v>
      </c>
      <c r="J90" s="73">
        <f t="shared" si="34"/>
        <v>3341244.6716543697</v>
      </c>
      <c r="K90" s="73">
        <f t="shared" si="34"/>
        <v>0</v>
      </c>
      <c r="L90" s="73">
        <f t="shared" si="34"/>
        <v>505086.26269535581</v>
      </c>
      <c r="M90" s="73">
        <f t="shared" si="34"/>
        <v>0</v>
      </c>
      <c r="N90" s="73">
        <f t="shared" si="34"/>
        <v>0</v>
      </c>
      <c r="O90" s="73">
        <f t="shared" si="34"/>
        <v>0</v>
      </c>
      <c r="P90" s="73">
        <f t="shared" si="34"/>
        <v>137730.69814306524</v>
      </c>
      <c r="Q90" s="73">
        <f t="shared" si="34"/>
        <v>44.79335768749435</v>
      </c>
      <c r="R90" s="73">
        <f t="shared" si="34"/>
        <v>749.70654746388334</v>
      </c>
      <c r="S90" s="73"/>
      <c r="T90" s="73">
        <f t="shared" si="35"/>
        <v>27189396.524652045</v>
      </c>
      <c r="U90" s="61" t="str">
        <f t="shared" si="36"/>
        <v>ok</v>
      </c>
      <c r="V90" s="62" t="str">
        <f t="shared" si="37"/>
        <v/>
      </c>
    </row>
    <row r="91" spans="1:22" ht="12" customHeight="1" x14ac:dyDescent="0.2">
      <c r="A91" s="403" t="s">
        <v>1014</v>
      </c>
      <c r="C91" s="55" t="s">
        <v>220</v>
      </c>
      <c r="D91" s="55" t="s">
        <v>283</v>
      </c>
      <c r="E91" s="55" t="s">
        <v>698</v>
      </c>
      <c r="F91" s="73">
        <f>VLOOKUP(C91,'Functional Assignment'!$C$1:$AU$773,23,)</f>
        <v>38916201.229445629</v>
      </c>
      <c r="G91" s="73">
        <f t="shared" si="34"/>
        <v>30985112.743033849</v>
      </c>
      <c r="H91" s="73">
        <f t="shared" si="34"/>
        <v>6055977.8655687403</v>
      </c>
      <c r="I91" s="73">
        <f t="shared" si="34"/>
        <v>47447.803282124798</v>
      </c>
      <c r="J91" s="73">
        <f t="shared" si="34"/>
        <v>415223.62219053844</v>
      </c>
      <c r="K91" s="73">
        <f t="shared" si="34"/>
        <v>0</v>
      </c>
      <c r="L91" s="73">
        <f t="shared" si="34"/>
        <v>10109.407542225657</v>
      </c>
      <c r="M91" s="73">
        <f t="shared" si="34"/>
        <v>0</v>
      </c>
      <c r="N91" s="73">
        <f t="shared" si="34"/>
        <v>0</v>
      </c>
      <c r="O91" s="73">
        <f t="shared" si="34"/>
        <v>0</v>
      </c>
      <c r="P91" s="73">
        <f t="shared" si="34"/>
        <v>1396352.6928579276</v>
      </c>
      <c r="Q91" s="73">
        <f t="shared" si="34"/>
        <v>73.791295928654435</v>
      </c>
      <c r="R91" s="73">
        <f t="shared" si="34"/>
        <v>5903.3036742923541</v>
      </c>
      <c r="S91" s="73"/>
      <c r="T91" s="73">
        <f t="shared" si="35"/>
        <v>38916201.229445636</v>
      </c>
      <c r="U91" s="61" t="str">
        <f t="shared" si="36"/>
        <v>ok</v>
      </c>
      <c r="V91" s="62" t="str">
        <f t="shared" si="37"/>
        <v/>
      </c>
    </row>
    <row r="92" spans="1:22" ht="12" customHeight="1" x14ac:dyDescent="0.2">
      <c r="A92" s="55" t="s">
        <v>180</v>
      </c>
      <c r="D92" s="55" t="s">
        <v>284</v>
      </c>
      <c r="F92" s="404">
        <f>SUM(F87:F91)</f>
        <v>440703985.02731788</v>
      </c>
      <c r="G92" s="404">
        <f t="shared" ref="G92:R92" si="38">SUM(G87:G91)</f>
        <v>294729540.28987736</v>
      </c>
      <c r="H92" s="404">
        <f t="shared" si="38"/>
        <v>66037352.34845151</v>
      </c>
      <c r="I92" s="404">
        <f>SUM(I87:I91)</f>
        <v>2582339.8049649592</v>
      </c>
      <c r="J92" s="404">
        <f t="shared" si="38"/>
        <v>29701682.779653024</v>
      </c>
      <c r="K92" s="404">
        <f t="shared" si="38"/>
        <v>6008635.127509973</v>
      </c>
      <c r="L92" s="404">
        <f t="shared" si="38"/>
        <v>4062361.9511862923</v>
      </c>
      <c r="M92" s="404">
        <f t="shared" si="38"/>
        <v>26908185.461128607</v>
      </c>
      <c r="N92" s="404">
        <f>SUM(N87:N91)</f>
        <v>0</v>
      </c>
      <c r="O92" s="404">
        <f t="shared" si="38"/>
        <v>0</v>
      </c>
      <c r="P92" s="404">
        <f t="shared" si="38"/>
        <v>10627004.123574398</v>
      </c>
      <c r="Q92" s="404">
        <f t="shared" si="38"/>
        <v>922.48161654059811</v>
      </c>
      <c r="R92" s="404">
        <f t="shared" si="38"/>
        <v>45960.659355174372</v>
      </c>
      <c r="S92" s="404"/>
      <c r="T92" s="62">
        <f t="shared" si="35"/>
        <v>440703985.02731776</v>
      </c>
      <c r="U92" s="61" t="str">
        <f t="shared" si="36"/>
        <v>ok</v>
      </c>
      <c r="V92" s="62" t="str">
        <f t="shared" si="37"/>
        <v/>
      </c>
    </row>
    <row r="93" spans="1:22" ht="12" customHeight="1" x14ac:dyDescent="0.2">
      <c r="F93" s="73"/>
    </row>
    <row r="94" spans="1:22" ht="12" customHeight="1" x14ac:dyDescent="0.2">
      <c r="A94" s="171" t="s">
        <v>1009</v>
      </c>
      <c r="F94" s="73"/>
    </row>
    <row r="95" spans="1:22" ht="12" customHeight="1" x14ac:dyDescent="0.2">
      <c r="A95" s="403" t="s">
        <v>501</v>
      </c>
      <c r="C95" s="55" t="s">
        <v>220</v>
      </c>
      <c r="D95" s="55" t="s">
        <v>285</v>
      </c>
      <c r="E95" s="55" t="s">
        <v>909</v>
      </c>
      <c r="F95" s="404">
        <f>VLOOKUP(C95,'Functional Assignment'!$C$1:$AU$773,24,)</f>
        <v>95699567.217165545</v>
      </c>
      <c r="G95" s="404">
        <f t="shared" ref="G95:R96" si="39">IF(VLOOKUP($E95,$D$5:$AH$1237,3,)=0,0,(VLOOKUP($E95,$D$5:$AH$1237,G$1,)/VLOOKUP($E95,$D$5:$AH$1237,3,))*$F95)</f>
        <v>65547715.137848176</v>
      </c>
      <c r="H95" s="404">
        <f t="shared" si="39"/>
        <v>15231860.544906165</v>
      </c>
      <c r="I95" s="404">
        <f t="shared" si="39"/>
        <v>894339.77169590129</v>
      </c>
      <c r="J95" s="404">
        <f t="shared" si="39"/>
        <v>11760307.690318465</v>
      </c>
      <c r="K95" s="404">
        <f t="shared" si="39"/>
        <v>0</v>
      </c>
      <c r="L95" s="404">
        <f t="shared" si="39"/>
        <v>1777771.592078384</v>
      </c>
      <c r="M95" s="404">
        <f t="shared" si="39"/>
        <v>0</v>
      </c>
      <c r="N95" s="404">
        <f t="shared" si="39"/>
        <v>0</v>
      </c>
      <c r="O95" s="404">
        <f t="shared" si="39"/>
        <v>0</v>
      </c>
      <c r="P95" s="404">
        <f t="shared" si="39"/>
        <v>484776.04837086727</v>
      </c>
      <c r="Q95" s="404">
        <f t="shared" si="39"/>
        <v>157.6609080311967</v>
      </c>
      <c r="R95" s="404">
        <f t="shared" si="39"/>
        <v>2638.7710395527874</v>
      </c>
      <c r="S95" s="404"/>
      <c r="T95" s="62">
        <f>SUM(G95:R95)</f>
        <v>95699567.21716553</v>
      </c>
      <c r="U95" s="61" t="str">
        <f>IF(ABS(F95-T95)&lt;0.01,"ok","err")</f>
        <v>ok</v>
      </c>
      <c r="V95" s="62" t="str">
        <f>IF(U95="err",T95-F95,"")</f>
        <v/>
      </c>
    </row>
    <row r="96" spans="1:22" ht="12" customHeight="1" x14ac:dyDescent="0.2">
      <c r="A96" s="403" t="s">
        <v>504</v>
      </c>
      <c r="C96" s="55" t="s">
        <v>220</v>
      </c>
      <c r="D96" s="55" t="s">
        <v>286</v>
      </c>
      <c r="E96" s="55" t="s">
        <v>698</v>
      </c>
      <c r="F96" s="73">
        <f>VLOOKUP(C96,'Functional Assignment'!$C$1:$AU$773,25,)</f>
        <v>81883597.038105458</v>
      </c>
      <c r="G96" s="73">
        <f t="shared" si="39"/>
        <v>65195790.07909742</v>
      </c>
      <c r="H96" s="73">
        <f t="shared" si="39"/>
        <v>12742385.832888262</v>
      </c>
      <c r="I96" s="73">
        <f t="shared" si="39"/>
        <v>99834.944870135514</v>
      </c>
      <c r="J96" s="73">
        <f t="shared" si="39"/>
        <v>873672.21583865094</v>
      </c>
      <c r="K96" s="73">
        <f t="shared" si="39"/>
        <v>0</v>
      </c>
      <c r="L96" s="73">
        <f t="shared" si="39"/>
        <v>21271.20909363696</v>
      </c>
      <c r="M96" s="73">
        <f t="shared" si="39"/>
        <v>0</v>
      </c>
      <c r="N96" s="73">
        <f t="shared" si="39"/>
        <v>0</v>
      </c>
      <c r="O96" s="73">
        <f t="shared" si="39"/>
        <v>0</v>
      </c>
      <c r="P96" s="73">
        <f t="shared" si="39"/>
        <v>2938066.348021111</v>
      </c>
      <c r="Q96" s="73">
        <f t="shared" si="39"/>
        <v>155.26429995355446</v>
      </c>
      <c r="R96" s="73">
        <f t="shared" si="39"/>
        <v>12421.143996284358</v>
      </c>
      <c r="S96" s="73"/>
      <c r="T96" s="73">
        <f>SUM(G96:R96)</f>
        <v>81883597.038105443</v>
      </c>
      <c r="U96" s="61" t="str">
        <f>IF(ABS(F96-T96)&lt;0.01,"ok","err")</f>
        <v>ok</v>
      </c>
      <c r="V96" s="62" t="str">
        <f>IF(U96="err",T96-F96,"")</f>
        <v/>
      </c>
    </row>
    <row r="97" spans="1:22" ht="12" customHeight="1" x14ac:dyDescent="0.2">
      <c r="A97" s="55" t="s">
        <v>1890</v>
      </c>
      <c r="D97" s="55" t="s">
        <v>287</v>
      </c>
      <c r="F97" s="404">
        <f t="shared" ref="F97:R97" si="40">F95+F96</f>
        <v>177583164.25527102</v>
      </c>
      <c r="G97" s="404">
        <f t="shared" si="40"/>
        <v>130743505.21694559</v>
      </c>
      <c r="H97" s="404">
        <f t="shared" si="40"/>
        <v>27974246.37779443</v>
      </c>
      <c r="I97" s="404">
        <f>I95+I96</f>
        <v>994174.7165660368</v>
      </c>
      <c r="J97" s="404">
        <f t="shared" si="40"/>
        <v>12633979.906157115</v>
      </c>
      <c r="K97" s="404">
        <f t="shared" si="40"/>
        <v>0</v>
      </c>
      <c r="L97" s="404">
        <f t="shared" si="40"/>
        <v>1799042.8011720211</v>
      </c>
      <c r="M97" s="404">
        <f t="shared" si="40"/>
        <v>0</v>
      </c>
      <c r="N97" s="404">
        <f>N95+N96</f>
        <v>0</v>
      </c>
      <c r="O97" s="404">
        <f t="shared" si="40"/>
        <v>0</v>
      </c>
      <c r="P97" s="404">
        <f t="shared" si="40"/>
        <v>3422842.3963919785</v>
      </c>
      <c r="Q97" s="404">
        <f t="shared" si="40"/>
        <v>312.92520798475118</v>
      </c>
      <c r="R97" s="404">
        <f t="shared" si="40"/>
        <v>15059.915035837144</v>
      </c>
      <c r="S97" s="404"/>
      <c r="T97" s="62">
        <f>SUM(G97:R97)</f>
        <v>177583164.25527099</v>
      </c>
      <c r="U97" s="61" t="str">
        <f>IF(ABS(F97-T97)&lt;0.01,"ok","err")</f>
        <v>ok</v>
      </c>
      <c r="V97" s="62" t="str">
        <f>IF(U97="err",T97-F97,"")</f>
        <v/>
      </c>
    </row>
    <row r="98" spans="1:22" ht="12" customHeight="1" x14ac:dyDescent="0.2">
      <c r="F98" s="73"/>
    </row>
    <row r="99" spans="1:22" ht="12" customHeight="1" x14ac:dyDescent="0.2">
      <c r="A99" s="171" t="s">
        <v>148</v>
      </c>
      <c r="F99" s="73"/>
    </row>
    <row r="100" spans="1:22" ht="12" customHeight="1" x14ac:dyDescent="0.2">
      <c r="A100" s="403" t="s">
        <v>504</v>
      </c>
      <c r="C100" s="55" t="s">
        <v>220</v>
      </c>
      <c r="D100" s="55" t="s">
        <v>288</v>
      </c>
      <c r="E100" s="55" t="s">
        <v>505</v>
      </c>
      <c r="F100" s="404">
        <f>VLOOKUP(C100,'Functional Assignment'!$C$1:$AU$773,26,)</f>
        <v>54891879.012801901</v>
      </c>
      <c r="G100" s="404">
        <f t="shared" ref="G100:R100" si="41">IF(VLOOKUP($E100,$D$5:$AH$1237,3,)=0,0,(VLOOKUP($E100,$D$5:$AH$1237,G$1,)/VLOOKUP($E100,$D$5:$AH$1237,3,))*$F100)</f>
        <v>32330226.2365622</v>
      </c>
      <c r="H100" s="404">
        <f t="shared" si="41"/>
        <v>21218011.82034022</v>
      </c>
      <c r="I100" s="404">
        <f t="shared" si="41"/>
        <v>101276.55946147174</v>
      </c>
      <c r="J100" s="404">
        <f t="shared" si="41"/>
        <v>1164502.9097880204</v>
      </c>
      <c r="K100" s="404">
        <f t="shared" si="41"/>
        <v>0</v>
      </c>
      <c r="L100" s="404">
        <f t="shared" si="41"/>
        <v>21578.364924139394</v>
      </c>
      <c r="M100" s="404">
        <f t="shared" si="41"/>
        <v>0</v>
      </c>
      <c r="N100" s="404">
        <f t="shared" si="41"/>
        <v>0</v>
      </c>
      <c r="O100" s="404">
        <f t="shared" si="41"/>
        <v>0</v>
      </c>
      <c r="P100" s="404">
        <f t="shared" si="41"/>
        <v>0</v>
      </c>
      <c r="Q100" s="404">
        <f t="shared" si="41"/>
        <v>846.94164019743675</v>
      </c>
      <c r="R100" s="404">
        <f t="shared" si="41"/>
        <v>55436.18008565042</v>
      </c>
      <c r="S100" s="404"/>
      <c r="T100" s="62">
        <f>SUM(G100:R100)</f>
        <v>54891879.012801908</v>
      </c>
      <c r="U100" s="61" t="str">
        <f>IF(ABS(F100-T100)&lt;0.01,"ok","err")</f>
        <v>ok</v>
      </c>
      <c r="V100" s="62" t="str">
        <f>IF(U100="err",T100-F100,"")</f>
        <v/>
      </c>
    </row>
    <row r="101" spans="1:22" ht="12" customHeight="1" x14ac:dyDescent="0.2">
      <c r="F101" s="73"/>
    </row>
    <row r="102" spans="1:22" ht="12" customHeight="1" x14ac:dyDescent="0.2">
      <c r="A102" s="171" t="s">
        <v>147</v>
      </c>
      <c r="F102" s="73"/>
    </row>
    <row r="103" spans="1:22" ht="12" customHeight="1" x14ac:dyDescent="0.2">
      <c r="A103" s="403" t="s">
        <v>504</v>
      </c>
      <c r="C103" s="55" t="s">
        <v>220</v>
      </c>
      <c r="D103" s="55" t="s">
        <v>289</v>
      </c>
      <c r="E103" s="55" t="s">
        <v>506</v>
      </c>
      <c r="F103" s="404">
        <f>VLOOKUP(C103,'Functional Assignment'!$C$1:$AU$773,27,)</f>
        <v>43500167.965943664</v>
      </c>
      <c r="G103" s="404">
        <f t="shared" ref="G103:R103" si="42">IF(VLOOKUP($E103,$D$5:$AH$1237,3,)=0,0,(VLOOKUP($E103,$D$5:$AH$1237,G$1,)/VLOOKUP($E103,$D$5:$AH$1237,3,))*$F103)</f>
        <v>27297065.874538962</v>
      </c>
      <c r="H103" s="404">
        <f t="shared" si="42"/>
        <v>9951974.3315226827</v>
      </c>
      <c r="I103" s="404">
        <f t="shared" si="42"/>
        <v>232575.79186631777</v>
      </c>
      <c r="J103" s="404">
        <f t="shared" si="42"/>
        <v>2920242.1320901066</v>
      </c>
      <c r="K103" s="404">
        <f t="shared" si="42"/>
        <v>1071798.2749125981</v>
      </c>
      <c r="L103" s="404">
        <f t="shared" si="42"/>
        <v>109803.45277422137</v>
      </c>
      <c r="M103" s="404">
        <f t="shared" si="42"/>
        <v>775543.59285878798</v>
      </c>
      <c r="N103" s="404">
        <f t="shared" si="42"/>
        <v>1054887.3546337001</v>
      </c>
      <c r="O103" s="404">
        <f t="shared" si="42"/>
        <v>38756.179292799614</v>
      </c>
      <c r="P103" s="404">
        <f t="shared" si="42"/>
        <v>0</v>
      </c>
      <c r="Q103" s="404">
        <f t="shared" si="42"/>
        <v>715.09000819221774</v>
      </c>
      <c r="R103" s="404">
        <f t="shared" si="42"/>
        <v>46805.891445308793</v>
      </c>
      <c r="S103" s="404"/>
      <c r="T103" s="62">
        <f>SUM(G103:R103)</f>
        <v>43500167.965943672</v>
      </c>
      <c r="U103" s="61" t="str">
        <f>IF(ABS(F103-T103)&lt;0.01,"ok","err")</f>
        <v>ok</v>
      </c>
      <c r="V103" s="62" t="str">
        <f>IF(U103="err",T103-F103,"")</f>
        <v/>
      </c>
    </row>
    <row r="104" spans="1:22" ht="12" customHeight="1" x14ac:dyDescent="0.2">
      <c r="F104" s="73"/>
    </row>
    <row r="105" spans="1:22" ht="12" customHeight="1" x14ac:dyDescent="0.2">
      <c r="A105" s="171" t="s">
        <v>173</v>
      </c>
      <c r="F105" s="73"/>
    </row>
    <row r="106" spans="1:22" ht="12" customHeight="1" x14ac:dyDescent="0.2">
      <c r="A106" s="403" t="s">
        <v>504</v>
      </c>
      <c r="C106" s="55" t="s">
        <v>220</v>
      </c>
      <c r="D106" s="55" t="s">
        <v>290</v>
      </c>
      <c r="E106" s="55" t="s">
        <v>695</v>
      </c>
      <c r="F106" s="404">
        <f>VLOOKUP(C106,'Functional Assignment'!$C$1:$AU$773,28,)</f>
        <v>63889793.822350554</v>
      </c>
      <c r="G106" s="404">
        <f t="shared" ref="G106:R106" si="43">IF(VLOOKUP($E106,$D$5:$AH$1237,3,)=0,0,(VLOOKUP($E106,$D$5:$AH$1237,G$1,)/VLOOKUP($E106,$D$5:$AH$1237,3,))*$F106)</f>
        <v>0</v>
      </c>
      <c r="H106" s="404">
        <f t="shared" si="43"/>
        <v>0</v>
      </c>
      <c r="I106" s="404">
        <f t="shared" si="43"/>
        <v>0</v>
      </c>
      <c r="J106" s="404">
        <f t="shared" si="43"/>
        <v>0</v>
      </c>
      <c r="K106" s="404">
        <f t="shared" si="43"/>
        <v>0</v>
      </c>
      <c r="L106" s="404">
        <f t="shared" si="43"/>
        <v>0</v>
      </c>
      <c r="M106" s="404">
        <f t="shared" si="43"/>
        <v>0</v>
      </c>
      <c r="N106" s="404">
        <f t="shared" si="43"/>
        <v>0</v>
      </c>
      <c r="O106" s="404">
        <f t="shared" si="43"/>
        <v>0</v>
      </c>
      <c r="P106" s="404">
        <f t="shared" si="43"/>
        <v>63889793.822350539</v>
      </c>
      <c r="Q106" s="404">
        <f t="shared" si="43"/>
        <v>0</v>
      </c>
      <c r="R106" s="404">
        <f t="shared" si="43"/>
        <v>0</v>
      </c>
      <c r="S106" s="404"/>
      <c r="T106" s="62">
        <f>SUM(G106:R106)</f>
        <v>63889793.822350539</v>
      </c>
      <c r="U106" s="61" t="str">
        <f>IF(ABS(F106-T106)&lt;0.01,"ok","err")</f>
        <v>ok</v>
      </c>
      <c r="V106" s="62" t="str">
        <f>IF(U106="err",T106-F106,"")</f>
        <v/>
      </c>
    </row>
    <row r="107" spans="1:22" ht="12" customHeight="1" x14ac:dyDescent="0.2">
      <c r="F107" s="73"/>
    </row>
    <row r="108" spans="1:22" ht="12" customHeight="1" x14ac:dyDescent="0.2">
      <c r="A108" s="171" t="s">
        <v>381</v>
      </c>
      <c r="F108" s="73"/>
    </row>
    <row r="109" spans="1:22" ht="12" customHeight="1" x14ac:dyDescent="0.2">
      <c r="A109" s="403" t="s">
        <v>504</v>
      </c>
      <c r="C109" s="55" t="s">
        <v>220</v>
      </c>
      <c r="D109" s="55" t="s">
        <v>291</v>
      </c>
      <c r="E109" s="55" t="s">
        <v>694</v>
      </c>
      <c r="F109" s="404">
        <f>VLOOKUP(C109,'Functional Assignment'!$C$1:$AU$773,30,)</f>
        <v>0</v>
      </c>
      <c r="G109" s="404">
        <f t="shared" ref="G109:R109" si="44">IF(VLOOKUP($E109,$D$5:$AH$1237,3,)=0,0,(VLOOKUP($E109,$D$5:$AH$1237,G$1,)/VLOOKUP($E109,$D$5:$AH$1237,3,))*$F109)</f>
        <v>0</v>
      </c>
      <c r="H109" s="404">
        <f t="shared" si="44"/>
        <v>0</v>
      </c>
      <c r="I109" s="404">
        <f t="shared" si="44"/>
        <v>0</v>
      </c>
      <c r="J109" s="404">
        <f t="shared" si="44"/>
        <v>0</v>
      </c>
      <c r="K109" s="404">
        <f t="shared" si="44"/>
        <v>0</v>
      </c>
      <c r="L109" s="404">
        <f t="shared" si="44"/>
        <v>0</v>
      </c>
      <c r="M109" s="404">
        <f t="shared" si="44"/>
        <v>0</v>
      </c>
      <c r="N109" s="404">
        <f t="shared" si="44"/>
        <v>0</v>
      </c>
      <c r="O109" s="404">
        <f t="shared" si="44"/>
        <v>0</v>
      </c>
      <c r="P109" s="404">
        <f t="shared" si="44"/>
        <v>0</v>
      </c>
      <c r="Q109" s="404">
        <f t="shared" si="44"/>
        <v>0</v>
      </c>
      <c r="R109" s="404">
        <f t="shared" si="44"/>
        <v>0</v>
      </c>
      <c r="S109" s="404"/>
      <c r="T109" s="62">
        <f>SUM(G109:R109)</f>
        <v>0</v>
      </c>
      <c r="U109" s="61" t="str">
        <f>IF(ABS(F109-T109)&lt;0.01,"ok","err")</f>
        <v>ok</v>
      </c>
      <c r="V109" s="62" t="str">
        <f>IF(U109="err",T109-F109,"")</f>
        <v/>
      </c>
    </row>
    <row r="110" spans="1:22" ht="12" customHeight="1" x14ac:dyDescent="0.2">
      <c r="F110" s="73"/>
    </row>
    <row r="111" spans="1:22" ht="12" customHeight="1" x14ac:dyDescent="0.2">
      <c r="A111" s="171" t="s">
        <v>2090</v>
      </c>
      <c r="F111" s="73"/>
    </row>
    <row r="112" spans="1:22" ht="12" customHeight="1" x14ac:dyDescent="0.2">
      <c r="A112" s="403" t="s">
        <v>504</v>
      </c>
      <c r="C112" s="55" t="s">
        <v>220</v>
      </c>
      <c r="D112" s="55" t="s">
        <v>292</v>
      </c>
      <c r="E112" s="55" t="s">
        <v>694</v>
      </c>
      <c r="F112" s="404">
        <f>VLOOKUP(C112,'Functional Assignment'!$C$1:$AU$773,32,)</f>
        <v>0</v>
      </c>
      <c r="G112" s="404">
        <f t="shared" ref="G112:R112" si="45">IF(VLOOKUP($E112,$D$5:$AH$1237,3,)=0,0,(VLOOKUP($E112,$D$5:$AH$1237,G$1,)/VLOOKUP($E112,$D$5:$AH$1237,3,))*$F112)</f>
        <v>0</v>
      </c>
      <c r="H112" s="404">
        <f t="shared" si="45"/>
        <v>0</v>
      </c>
      <c r="I112" s="404">
        <f t="shared" si="45"/>
        <v>0</v>
      </c>
      <c r="J112" s="404">
        <f t="shared" si="45"/>
        <v>0</v>
      </c>
      <c r="K112" s="404">
        <f t="shared" si="45"/>
        <v>0</v>
      </c>
      <c r="L112" s="404">
        <f t="shared" si="45"/>
        <v>0</v>
      </c>
      <c r="M112" s="404">
        <f t="shared" si="45"/>
        <v>0</v>
      </c>
      <c r="N112" s="404">
        <f t="shared" si="45"/>
        <v>0</v>
      </c>
      <c r="O112" s="404">
        <f t="shared" si="45"/>
        <v>0</v>
      </c>
      <c r="P112" s="404">
        <f t="shared" si="45"/>
        <v>0</v>
      </c>
      <c r="Q112" s="404">
        <f t="shared" si="45"/>
        <v>0</v>
      </c>
      <c r="R112" s="404">
        <f t="shared" si="45"/>
        <v>0</v>
      </c>
      <c r="S112" s="404"/>
      <c r="T112" s="62">
        <f>SUM(G112:R112)</f>
        <v>0</v>
      </c>
      <c r="U112" s="61" t="str">
        <f>IF(ABS(F112-T112)&lt;0.01,"ok","err")</f>
        <v>ok</v>
      </c>
      <c r="V112" s="62" t="str">
        <f>IF(U112="err",T112-F112,"")</f>
        <v/>
      </c>
    </row>
    <row r="113" spans="1:22" ht="12" customHeight="1" x14ac:dyDescent="0.2">
      <c r="F113" s="73"/>
    </row>
    <row r="114" spans="1:22" ht="12" customHeight="1" x14ac:dyDescent="0.2">
      <c r="A114" s="171" t="s">
        <v>2089</v>
      </c>
      <c r="F114" s="73"/>
    </row>
    <row r="115" spans="1:22" ht="12" customHeight="1" x14ac:dyDescent="0.2">
      <c r="A115" s="403" t="s">
        <v>504</v>
      </c>
      <c r="C115" s="55" t="s">
        <v>220</v>
      </c>
      <c r="D115" s="55" t="s">
        <v>293</v>
      </c>
      <c r="E115" s="55" t="s">
        <v>697</v>
      </c>
      <c r="F115" s="404">
        <f>VLOOKUP(C115,'Functional Assignment'!$C$1:$AU$773,34,)</f>
        <v>0</v>
      </c>
      <c r="G115" s="404">
        <f t="shared" ref="G115:R115" si="46">IF(VLOOKUP($E115,$D$5:$AH$1237,3,)=0,0,(VLOOKUP($E115,$D$5:$AH$1237,G$1,)/VLOOKUP($E115,$D$5:$AH$1237,3,))*$F115)</f>
        <v>0</v>
      </c>
      <c r="H115" s="404">
        <f t="shared" si="46"/>
        <v>0</v>
      </c>
      <c r="I115" s="404">
        <f t="shared" si="46"/>
        <v>0</v>
      </c>
      <c r="J115" s="404">
        <f t="shared" si="46"/>
        <v>0</v>
      </c>
      <c r="K115" s="404">
        <f t="shared" si="46"/>
        <v>0</v>
      </c>
      <c r="L115" s="404">
        <f t="shared" si="46"/>
        <v>0</v>
      </c>
      <c r="M115" s="404">
        <f t="shared" si="46"/>
        <v>0</v>
      </c>
      <c r="N115" s="404">
        <f t="shared" si="46"/>
        <v>0</v>
      </c>
      <c r="O115" s="404">
        <f t="shared" si="46"/>
        <v>0</v>
      </c>
      <c r="P115" s="404">
        <f t="shared" si="46"/>
        <v>0</v>
      </c>
      <c r="Q115" s="404">
        <f t="shared" si="46"/>
        <v>0</v>
      </c>
      <c r="R115" s="404">
        <f t="shared" si="46"/>
        <v>0</v>
      </c>
      <c r="S115" s="404"/>
      <c r="T115" s="62">
        <f>SUM(G115:R115)</f>
        <v>0</v>
      </c>
      <c r="U115" s="61" t="str">
        <f>IF(ABS(F115-T115)&lt;0.01,"ok","err")</f>
        <v>ok</v>
      </c>
      <c r="V115" s="62" t="str">
        <f>IF(U115="err",T115-F115,"")</f>
        <v/>
      </c>
    </row>
    <row r="116" spans="1:22" ht="12" customHeight="1" x14ac:dyDescent="0.2">
      <c r="F116" s="73"/>
    </row>
    <row r="117" spans="1:22" ht="12" customHeight="1" x14ac:dyDescent="0.2">
      <c r="A117" s="55" t="s">
        <v>82</v>
      </c>
      <c r="D117" s="55" t="s">
        <v>294</v>
      </c>
      <c r="F117" s="404">
        <f>F72+F78+F81+F84+F92+F97+F100+F103+F106+F109+F112+F115</f>
        <v>3861083105.902391</v>
      </c>
      <c r="G117" s="404">
        <f t="shared" ref="G117:R117" si="47">G72+G78+G81+G84+G92+G97+G100+G103+G106+G109+G112+G115</f>
        <v>1707660339.2866037</v>
      </c>
      <c r="H117" s="404">
        <f t="shared" si="47"/>
        <v>488440254.56332833</v>
      </c>
      <c r="I117" s="404">
        <f>I72+I78+I81+I84+I92+I97+I100+I103+I106+I109+I112+I115</f>
        <v>29231776.060243104</v>
      </c>
      <c r="J117" s="404">
        <f t="shared" si="47"/>
        <v>515185828.85138768</v>
      </c>
      <c r="K117" s="404">
        <f t="shared" si="47"/>
        <v>114868599.59012105</v>
      </c>
      <c r="L117" s="404">
        <f t="shared" si="47"/>
        <v>79176658.857352138</v>
      </c>
      <c r="M117" s="404">
        <f>M72+M78+M81+M84+M92+M97+M100+M103+M106+M109+M112+M115</f>
        <v>557433827.13193953</v>
      </c>
      <c r="N117" s="404">
        <f>N72+N78+N81+N84+N92+N97+N100+N103+N106+N109+N112+N115</f>
        <v>218524461.25600988</v>
      </c>
      <c r="O117" s="404">
        <f t="shared" si="47"/>
        <v>64460513.884609312</v>
      </c>
      <c r="P117" s="404">
        <f t="shared" si="47"/>
        <v>85785423.710645854</v>
      </c>
      <c r="Q117" s="404">
        <f t="shared" si="47"/>
        <v>5348.7779706180136</v>
      </c>
      <c r="R117" s="404">
        <f t="shared" si="47"/>
        <v>310073.93218014442</v>
      </c>
      <c r="S117" s="404"/>
      <c r="T117" s="62">
        <f>SUM(G117:R117)</f>
        <v>3861083105.9023914</v>
      </c>
      <c r="U117" s="61" t="str">
        <f>IF(ABS(F117-T117)&lt;0.01,"ok","err")</f>
        <v>ok</v>
      </c>
      <c r="V117" s="405" t="str">
        <f>IF(U117="err",T117-F117,"")</f>
        <v/>
      </c>
    </row>
    <row r="118" spans="1:22" ht="12" customHeight="1" x14ac:dyDescent="0.2">
      <c r="V118" s="405"/>
    </row>
    <row r="120" spans="1:22" ht="12" customHeight="1" x14ac:dyDescent="0.2">
      <c r="A120" s="402" t="s">
        <v>512</v>
      </c>
    </row>
    <row r="122" spans="1:22" ht="12" customHeight="1" x14ac:dyDescent="0.2">
      <c r="A122" s="171" t="s">
        <v>166</v>
      </c>
    </row>
    <row r="123" spans="1:22" ht="12" customHeight="1" x14ac:dyDescent="0.2">
      <c r="A123" s="403" t="s">
        <v>153</v>
      </c>
      <c r="C123" s="55" t="s">
        <v>954</v>
      </c>
      <c r="D123" s="55" t="s">
        <v>295</v>
      </c>
      <c r="E123" s="55" t="s">
        <v>2831</v>
      </c>
      <c r="F123" s="404">
        <f>VLOOKUP(C123,'Functional Assignment'!$C$1:$AU$773,6,)</f>
        <v>795163003.29038906</v>
      </c>
      <c r="G123" s="404">
        <f t="shared" ref="G123:R128" si="48">IF(VLOOKUP($E123,$D$5:$AH$1237,3,)=0,0,(VLOOKUP($E123,$D$5:$AH$1237,G$1,)/VLOOKUP($E123,$D$5:$AH$1237,3,))*$F123)</f>
        <v>265677637.016184</v>
      </c>
      <c r="H123" s="404">
        <f t="shared" si="48"/>
        <v>83845011.27665557</v>
      </c>
      <c r="I123" s="404">
        <f t="shared" si="48"/>
        <v>6982712.7850452</v>
      </c>
      <c r="J123" s="404">
        <f t="shared" si="48"/>
        <v>136487068.59619087</v>
      </c>
      <c r="K123" s="404">
        <f t="shared" si="48"/>
        <v>29106622.036671687</v>
      </c>
      <c r="L123" s="404">
        <f t="shared" si="48"/>
        <v>22061230.878919199</v>
      </c>
      <c r="M123" s="404">
        <f t="shared" si="48"/>
        <v>158996357.36373758</v>
      </c>
      <c r="N123" s="404">
        <f t="shared" si="48"/>
        <v>65235096.50791312</v>
      </c>
      <c r="O123" s="404">
        <f t="shared" si="48"/>
        <v>21202181.577596877</v>
      </c>
      <c r="P123" s="404">
        <f t="shared" si="48"/>
        <v>5514530.50435232</v>
      </c>
      <c r="Q123" s="404">
        <f t="shared" si="48"/>
        <v>1793.2268559533247</v>
      </c>
      <c r="R123" s="404">
        <f t="shared" si="48"/>
        <v>52761.520266623156</v>
      </c>
      <c r="S123" s="404"/>
      <c r="T123" s="62">
        <f t="shared" ref="T123:T129" si="49">SUM(G123:R123)</f>
        <v>795163003.29038918</v>
      </c>
      <c r="U123" s="61" t="str">
        <f t="shared" ref="U123:U129" si="50">IF(ABS(F123-T123)&lt;0.01,"ok","err")</f>
        <v>ok</v>
      </c>
      <c r="V123" s="405" t="str">
        <f t="shared" ref="V123:V129" si="51">IF(U123="err",T123-F123,"")</f>
        <v/>
      </c>
    </row>
    <row r="124" spans="1:22" ht="12" customHeight="1" x14ac:dyDescent="0.2">
      <c r="A124" s="403" t="s">
        <v>157</v>
      </c>
      <c r="C124" s="55" t="s">
        <v>954</v>
      </c>
      <c r="D124" s="55" t="s">
        <v>296</v>
      </c>
      <c r="E124" s="55" t="s">
        <v>59</v>
      </c>
      <c r="F124" s="73">
        <f>VLOOKUP(C124,'Functional Assignment'!$C$1:$AU$773,7,)</f>
        <v>749582469.74574006</v>
      </c>
      <c r="G124" s="73">
        <f t="shared" si="48"/>
        <v>342332296.05468428</v>
      </c>
      <c r="H124" s="73">
        <f t="shared" si="48"/>
        <v>94540258.731320918</v>
      </c>
      <c r="I124" s="73">
        <f t="shared" si="48"/>
        <v>6373757.7219014186</v>
      </c>
      <c r="J124" s="73">
        <f t="shared" si="48"/>
        <v>94991131.937192857</v>
      </c>
      <c r="K124" s="73">
        <f t="shared" si="48"/>
        <v>21093251.211076785</v>
      </c>
      <c r="L124" s="73">
        <f t="shared" si="48"/>
        <v>14127451.111191677</v>
      </c>
      <c r="M124" s="73">
        <f t="shared" si="48"/>
        <v>113274902.56324333</v>
      </c>
      <c r="N124" s="73">
        <f t="shared" si="48"/>
        <v>50468282.93923898</v>
      </c>
      <c r="O124" s="73">
        <f t="shared" si="48"/>
        <v>12352080.389809506</v>
      </c>
      <c r="P124" s="73">
        <f t="shared" si="48"/>
        <v>0</v>
      </c>
      <c r="Q124" s="73">
        <f t="shared" si="48"/>
        <v>0</v>
      </c>
      <c r="R124" s="73">
        <f t="shared" si="48"/>
        <v>29057.086080415287</v>
      </c>
      <c r="S124" s="73"/>
      <c r="T124" s="73">
        <f t="shared" si="49"/>
        <v>749582469.74574018</v>
      </c>
      <c r="U124" s="61" t="str">
        <f t="shared" si="50"/>
        <v>ok</v>
      </c>
      <c r="V124" s="62" t="str">
        <f t="shared" si="51"/>
        <v/>
      </c>
    </row>
    <row r="125" spans="1:22" ht="12" customHeight="1" x14ac:dyDescent="0.2">
      <c r="A125" s="403" t="s">
        <v>154</v>
      </c>
      <c r="C125" s="55" t="s">
        <v>954</v>
      </c>
      <c r="D125" s="55" t="s">
        <v>297</v>
      </c>
      <c r="E125" s="55" t="s">
        <v>62</v>
      </c>
      <c r="F125" s="73">
        <f>VLOOKUP(C125,'Functional Assignment'!$C$1:$AU$773,8,)</f>
        <v>769826371.09565389</v>
      </c>
      <c r="G125" s="73">
        <f t="shared" si="48"/>
        <v>306480095.87009257</v>
      </c>
      <c r="H125" s="73">
        <f t="shared" si="48"/>
        <v>93021391.116100445</v>
      </c>
      <c r="I125" s="73">
        <f t="shared" si="48"/>
        <v>5312037.0281590084</v>
      </c>
      <c r="J125" s="73">
        <f t="shared" si="48"/>
        <v>120661641.1740761</v>
      </c>
      <c r="K125" s="73">
        <f t="shared" si="48"/>
        <v>30551705.786146086</v>
      </c>
      <c r="L125" s="73">
        <f t="shared" si="48"/>
        <v>18880240.386660334</v>
      </c>
      <c r="M125" s="73">
        <f t="shared" si="48"/>
        <v>125597152.85024504</v>
      </c>
      <c r="N125" s="73">
        <f t="shared" si="48"/>
        <v>52900944.534416519</v>
      </c>
      <c r="O125" s="73">
        <f t="shared" si="48"/>
        <v>16391975.167059086</v>
      </c>
      <c r="P125" s="73">
        <f t="shared" si="48"/>
        <v>0</v>
      </c>
      <c r="Q125" s="73">
        <f t="shared" si="48"/>
        <v>0</v>
      </c>
      <c r="R125" s="73">
        <f t="shared" si="48"/>
        <v>29187.18269893041</v>
      </c>
      <c r="S125" s="73"/>
      <c r="T125" s="73">
        <f t="shared" si="49"/>
        <v>769826371.09565413</v>
      </c>
      <c r="U125" s="61" t="str">
        <f t="shared" si="50"/>
        <v>ok</v>
      </c>
      <c r="V125" s="62" t="str">
        <f t="shared" si="51"/>
        <v/>
      </c>
    </row>
    <row r="126" spans="1:22" ht="12" customHeight="1" x14ac:dyDescent="0.2">
      <c r="A126" s="403" t="s">
        <v>155</v>
      </c>
      <c r="C126" s="55" t="s">
        <v>954</v>
      </c>
      <c r="D126" s="55" t="s">
        <v>298</v>
      </c>
      <c r="E126" s="55" t="s">
        <v>502</v>
      </c>
      <c r="F126" s="73">
        <f>VLOOKUP(C126,'Functional Assignment'!$C$1:$AU$773,9,)</f>
        <v>66178542.027407862</v>
      </c>
      <c r="G126" s="73">
        <f t="shared" si="48"/>
        <v>22130120.36579784</v>
      </c>
      <c r="H126" s="73">
        <f t="shared" si="48"/>
        <v>7083625.6273738388</v>
      </c>
      <c r="I126" s="73">
        <f t="shared" si="48"/>
        <v>585389.41881505563</v>
      </c>
      <c r="J126" s="73">
        <f t="shared" si="48"/>
        <v>11402823.42455544</v>
      </c>
      <c r="K126" s="73">
        <f t="shared" si="48"/>
        <v>2607304.971511391</v>
      </c>
      <c r="L126" s="73">
        <f t="shared" si="48"/>
        <v>1688015.5391725097</v>
      </c>
      <c r="M126" s="73">
        <f t="shared" si="48"/>
        <v>13020385.617615739</v>
      </c>
      <c r="N126" s="73">
        <f t="shared" si="48"/>
        <v>5433024.5605480233</v>
      </c>
      <c r="O126" s="73">
        <f t="shared" si="48"/>
        <v>1764580.9889644217</v>
      </c>
      <c r="P126" s="73">
        <f t="shared" si="48"/>
        <v>458954.44004398218</v>
      </c>
      <c r="Q126" s="73">
        <f t="shared" si="48"/>
        <v>149.10593930115914</v>
      </c>
      <c r="R126" s="73">
        <f t="shared" si="48"/>
        <v>4167.9670703229385</v>
      </c>
      <c r="S126" s="73"/>
      <c r="T126" s="73">
        <f t="shared" si="49"/>
        <v>66178542.02740787</v>
      </c>
      <c r="U126" s="61" t="str">
        <f t="shared" si="50"/>
        <v>ok</v>
      </c>
      <c r="V126" s="62" t="str">
        <f t="shared" si="51"/>
        <v/>
      </c>
    </row>
    <row r="127" spans="1:22" ht="12" customHeight="1" x14ac:dyDescent="0.2">
      <c r="A127" s="403" t="s">
        <v>158</v>
      </c>
      <c r="C127" s="55" t="s">
        <v>954</v>
      </c>
      <c r="D127" s="55" t="s">
        <v>299</v>
      </c>
      <c r="E127" s="55" t="s">
        <v>502</v>
      </c>
      <c r="F127" s="73">
        <f>VLOOKUP(C127,'Functional Assignment'!$C$1:$AU$773,10,)</f>
        <v>0</v>
      </c>
      <c r="G127" s="73">
        <f t="shared" si="48"/>
        <v>0</v>
      </c>
      <c r="H127" s="73">
        <f t="shared" si="48"/>
        <v>0</v>
      </c>
      <c r="I127" s="73">
        <f t="shared" si="48"/>
        <v>0</v>
      </c>
      <c r="J127" s="73">
        <f t="shared" si="48"/>
        <v>0</v>
      </c>
      <c r="K127" s="73">
        <f t="shared" si="48"/>
        <v>0</v>
      </c>
      <c r="L127" s="73">
        <f t="shared" si="48"/>
        <v>0</v>
      </c>
      <c r="M127" s="73">
        <f t="shared" si="48"/>
        <v>0</v>
      </c>
      <c r="N127" s="73">
        <f t="shared" si="48"/>
        <v>0</v>
      </c>
      <c r="O127" s="73">
        <f t="shared" si="48"/>
        <v>0</v>
      </c>
      <c r="P127" s="73">
        <f t="shared" si="48"/>
        <v>0</v>
      </c>
      <c r="Q127" s="73">
        <f t="shared" si="48"/>
        <v>0</v>
      </c>
      <c r="R127" s="73">
        <f t="shared" si="48"/>
        <v>0</v>
      </c>
      <c r="S127" s="73"/>
      <c r="T127" s="73">
        <f t="shared" si="49"/>
        <v>0</v>
      </c>
      <c r="U127" s="61" t="str">
        <f t="shared" si="50"/>
        <v>ok</v>
      </c>
      <c r="V127" s="62" t="str">
        <f t="shared" si="51"/>
        <v/>
      </c>
    </row>
    <row r="128" spans="1:22" ht="12" customHeight="1" x14ac:dyDescent="0.2">
      <c r="A128" s="403" t="s">
        <v>156</v>
      </c>
      <c r="C128" s="55" t="s">
        <v>954</v>
      </c>
      <c r="D128" s="55" t="s">
        <v>300</v>
      </c>
      <c r="E128" s="55" t="s">
        <v>502</v>
      </c>
      <c r="F128" s="73">
        <f>VLOOKUP(C128,'Functional Assignment'!$C$1:$AU$773,11,)</f>
        <v>0</v>
      </c>
      <c r="G128" s="73">
        <f t="shared" si="48"/>
        <v>0</v>
      </c>
      <c r="H128" s="73">
        <f t="shared" si="48"/>
        <v>0</v>
      </c>
      <c r="I128" s="73">
        <f t="shared" si="48"/>
        <v>0</v>
      </c>
      <c r="J128" s="73">
        <f t="shared" si="48"/>
        <v>0</v>
      </c>
      <c r="K128" s="73">
        <f t="shared" si="48"/>
        <v>0</v>
      </c>
      <c r="L128" s="73">
        <f t="shared" si="48"/>
        <v>0</v>
      </c>
      <c r="M128" s="73">
        <f t="shared" si="48"/>
        <v>0</v>
      </c>
      <c r="N128" s="73">
        <f t="shared" si="48"/>
        <v>0</v>
      </c>
      <c r="O128" s="73">
        <f t="shared" si="48"/>
        <v>0</v>
      </c>
      <c r="P128" s="73">
        <f t="shared" si="48"/>
        <v>0</v>
      </c>
      <c r="Q128" s="73">
        <f t="shared" si="48"/>
        <v>0</v>
      </c>
      <c r="R128" s="73">
        <f t="shared" si="48"/>
        <v>0</v>
      </c>
      <c r="S128" s="73"/>
      <c r="T128" s="73">
        <f t="shared" si="49"/>
        <v>0</v>
      </c>
      <c r="U128" s="61" t="str">
        <f t="shared" si="50"/>
        <v>ok</v>
      </c>
      <c r="V128" s="62" t="str">
        <f t="shared" si="51"/>
        <v/>
      </c>
    </row>
    <row r="129" spans="1:23" ht="12" customHeight="1" x14ac:dyDescent="0.2">
      <c r="A129" s="55" t="s">
        <v>189</v>
      </c>
      <c r="D129" s="55" t="s">
        <v>513</v>
      </c>
      <c r="F129" s="404">
        <f t="shared" ref="F129:R129" si="52">SUM(F123:F128)</f>
        <v>2380750386.1591907</v>
      </c>
      <c r="G129" s="404">
        <f t="shared" si="52"/>
        <v>936620149.30675876</v>
      </c>
      <c r="H129" s="404">
        <f t="shared" si="52"/>
        <v>278490286.75145072</v>
      </c>
      <c r="I129" s="404">
        <f>SUM(I123:I128)</f>
        <v>19253896.953920681</v>
      </c>
      <c r="J129" s="404">
        <f t="shared" si="52"/>
        <v>363542665.13201523</v>
      </c>
      <c r="K129" s="404">
        <f t="shared" si="52"/>
        <v>83358884.005405948</v>
      </c>
      <c r="L129" s="404">
        <f t="shared" si="52"/>
        <v>56756937.915943719</v>
      </c>
      <c r="M129" s="404">
        <f t="shared" si="52"/>
        <v>410888798.39484173</v>
      </c>
      <c r="N129" s="404">
        <f>SUM(N123:N128)</f>
        <v>174037348.54211667</v>
      </c>
      <c r="O129" s="404">
        <f t="shared" si="52"/>
        <v>51710818.123429894</v>
      </c>
      <c r="P129" s="404">
        <f t="shared" si="52"/>
        <v>5973484.9443963021</v>
      </c>
      <c r="Q129" s="404">
        <f t="shared" si="52"/>
        <v>1942.3327952544839</v>
      </c>
      <c r="R129" s="404">
        <f t="shared" si="52"/>
        <v>115173.75611629178</v>
      </c>
      <c r="S129" s="404"/>
      <c r="T129" s="62">
        <f t="shared" si="49"/>
        <v>2380750386.1591911</v>
      </c>
      <c r="U129" s="61" t="str">
        <f t="shared" si="50"/>
        <v>ok</v>
      </c>
      <c r="V129" s="405" t="str">
        <f t="shared" si="51"/>
        <v/>
      </c>
    </row>
    <row r="130" spans="1:23" ht="12" customHeight="1" x14ac:dyDescent="0.2">
      <c r="F130" s="73"/>
      <c r="G130" s="73"/>
    </row>
    <row r="131" spans="1:23" ht="12" customHeight="1" x14ac:dyDescent="0.2">
      <c r="A131" s="171" t="s">
        <v>554</v>
      </c>
      <c r="F131" s="73"/>
      <c r="G131" s="73"/>
    </row>
    <row r="132" spans="1:23" ht="12" customHeight="1" x14ac:dyDescent="0.2">
      <c r="A132" s="403" t="s">
        <v>159</v>
      </c>
      <c r="C132" s="55" t="s">
        <v>954</v>
      </c>
      <c r="D132" s="55" t="s">
        <v>301</v>
      </c>
      <c r="E132" s="55" t="s">
        <v>2831</v>
      </c>
      <c r="F132" s="404">
        <f>VLOOKUP(C132,'Functional Assignment'!$C$1:$AU$773,13,)</f>
        <v>105339535.243157</v>
      </c>
      <c r="G132" s="404">
        <f t="shared" ref="G132:R134" si="53">IF(VLOOKUP($E132,$D$5:$AH$1237,3,)=0,0,(VLOOKUP($E132,$D$5:$AH$1237,G$1,)/VLOOKUP($E132,$D$5:$AH$1237,3,))*$F132)</f>
        <v>35195750.672475047</v>
      </c>
      <c r="H132" s="404">
        <f t="shared" si="53"/>
        <v>11107401.229424011</v>
      </c>
      <c r="I132" s="404">
        <f t="shared" si="53"/>
        <v>925037.65450527496</v>
      </c>
      <c r="J132" s="404">
        <f t="shared" si="53"/>
        <v>18081178.718237046</v>
      </c>
      <c r="K132" s="404">
        <f t="shared" si="53"/>
        <v>3855911.3353536054</v>
      </c>
      <c r="L132" s="404">
        <f t="shared" si="53"/>
        <v>2922570.33848524</v>
      </c>
      <c r="M132" s="404">
        <f t="shared" si="53"/>
        <v>21063105.703793067</v>
      </c>
      <c r="N132" s="404">
        <f t="shared" si="53"/>
        <v>8642045.3658562731</v>
      </c>
      <c r="O132" s="404">
        <f t="shared" si="53"/>
        <v>2808767.4404909969</v>
      </c>
      <c r="P132" s="404">
        <f t="shared" si="53"/>
        <v>730539.62270493712</v>
      </c>
      <c r="Q132" s="404">
        <f t="shared" si="53"/>
        <v>237.55844123784831</v>
      </c>
      <c r="R132" s="404">
        <f t="shared" si="53"/>
        <v>6989.6033902608369</v>
      </c>
      <c r="S132" s="404"/>
      <c r="T132" s="62">
        <f>SUM(G132:R132)</f>
        <v>105339535.24315698</v>
      </c>
      <c r="U132" s="61" t="str">
        <f>IF(ABS(F132-T132)&lt;0.01,"ok","err")</f>
        <v>ok</v>
      </c>
      <c r="V132" s="405" t="str">
        <f>IF(U132="err",T132-F132,"")</f>
        <v/>
      </c>
    </row>
    <row r="133" spans="1:23" ht="12" customHeight="1" x14ac:dyDescent="0.2">
      <c r="A133" s="403" t="s">
        <v>161</v>
      </c>
      <c r="C133" s="55" t="s">
        <v>954</v>
      </c>
      <c r="D133" s="55" t="s">
        <v>302</v>
      </c>
      <c r="E133" s="55" t="s">
        <v>59</v>
      </c>
      <c r="F133" s="73">
        <f>VLOOKUP(C133,'Functional Assignment'!$C$1:$AU$773,14,)</f>
        <v>99301235.926086023</v>
      </c>
      <c r="G133" s="73">
        <f t="shared" si="53"/>
        <v>45350607.128226697</v>
      </c>
      <c r="H133" s="73">
        <f t="shared" si="53"/>
        <v>12524258.391443612</v>
      </c>
      <c r="I133" s="73">
        <f t="shared" si="53"/>
        <v>844366.09022211237</v>
      </c>
      <c r="J133" s="73">
        <f t="shared" si="53"/>
        <v>12583987.998786522</v>
      </c>
      <c r="K133" s="73">
        <f t="shared" si="53"/>
        <v>2794336.8468446489</v>
      </c>
      <c r="L133" s="73">
        <f t="shared" si="53"/>
        <v>1871539.7070352358</v>
      </c>
      <c r="M133" s="73">
        <f t="shared" si="53"/>
        <v>15006137.787283756</v>
      </c>
      <c r="N133" s="73">
        <f t="shared" si="53"/>
        <v>6685805.8628742537</v>
      </c>
      <c r="O133" s="73">
        <f t="shared" si="53"/>
        <v>1636346.7643293629</v>
      </c>
      <c r="P133" s="73">
        <f t="shared" si="53"/>
        <v>0</v>
      </c>
      <c r="Q133" s="73">
        <f t="shared" si="53"/>
        <v>0</v>
      </c>
      <c r="R133" s="73">
        <f t="shared" si="53"/>
        <v>3849.3490398389972</v>
      </c>
      <c r="S133" s="73"/>
      <c r="T133" s="73">
        <f>SUM(G133:R133)</f>
        <v>99301235.926086023</v>
      </c>
      <c r="U133" s="61" t="str">
        <f>IF(ABS(F133-T133)&lt;0.01,"ok","err")</f>
        <v>ok</v>
      </c>
      <c r="V133" s="62" t="str">
        <f>IF(U133="err",T133-F133,"")</f>
        <v/>
      </c>
    </row>
    <row r="134" spans="1:23" ht="12" customHeight="1" x14ac:dyDescent="0.2">
      <c r="A134" s="403" t="s">
        <v>160</v>
      </c>
      <c r="C134" s="55" t="s">
        <v>954</v>
      </c>
      <c r="D134" s="55" t="s">
        <v>303</v>
      </c>
      <c r="E134" s="55" t="s">
        <v>62</v>
      </c>
      <c r="F134" s="73">
        <f>VLOOKUP(C134,'Functional Assignment'!$C$1:$AU$773,15,)</f>
        <v>101983054.81213078</v>
      </c>
      <c r="G134" s="73">
        <f t="shared" si="53"/>
        <v>40601072.64377293</v>
      </c>
      <c r="H134" s="73">
        <f t="shared" si="53"/>
        <v>12323045.799784871</v>
      </c>
      <c r="I134" s="73">
        <f t="shared" si="53"/>
        <v>703714.218877409</v>
      </c>
      <c r="J134" s="73">
        <f t="shared" si="53"/>
        <v>15984698.923815457</v>
      </c>
      <c r="K134" s="73">
        <f t="shared" si="53"/>
        <v>4047349.3800402493</v>
      </c>
      <c r="L134" s="73">
        <f t="shared" si="53"/>
        <v>2501167.3573595202</v>
      </c>
      <c r="M134" s="73">
        <f t="shared" si="53"/>
        <v>16638532.796874749</v>
      </c>
      <c r="N134" s="73">
        <f t="shared" si="53"/>
        <v>7008073.6756113805</v>
      </c>
      <c r="O134" s="73">
        <f t="shared" si="53"/>
        <v>2171533.4323530961</v>
      </c>
      <c r="P134" s="73">
        <f t="shared" si="53"/>
        <v>0</v>
      </c>
      <c r="Q134" s="73">
        <f t="shared" si="53"/>
        <v>0</v>
      </c>
      <c r="R134" s="73">
        <f t="shared" si="53"/>
        <v>3866.5836411400896</v>
      </c>
      <c r="S134" s="73"/>
      <c r="T134" s="73">
        <f>SUM(G134:R134)</f>
        <v>101983054.81213078</v>
      </c>
      <c r="U134" s="61" t="str">
        <f>IF(ABS(F134-T134)&lt;0.01,"ok","err")</f>
        <v>ok</v>
      </c>
      <c r="V134" s="62" t="str">
        <f>IF(U134="err",T134-F134,"")</f>
        <v/>
      </c>
    </row>
    <row r="135" spans="1:23" ht="12" customHeight="1" x14ac:dyDescent="0.2">
      <c r="A135" s="55" t="s">
        <v>556</v>
      </c>
      <c r="D135" s="55" t="s">
        <v>797</v>
      </c>
      <c r="F135" s="404">
        <f>SUM(F132:F134)</f>
        <v>306623825.98137379</v>
      </c>
      <c r="G135" s="404">
        <f t="shared" ref="G135:R135" si="54">SUM(G132:G134)</f>
        <v>121147430.44447467</v>
      </c>
      <c r="H135" s="404">
        <f t="shared" si="54"/>
        <v>35954705.420652494</v>
      </c>
      <c r="I135" s="404">
        <f>SUM(I132:I134)</f>
        <v>2473117.9636047962</v>
      </c>
      <c r="J135" s="404">
        <f t="shared" si="54"/>
        <v>46649865.640839025</v>
      </c>
      <c r="K135" s="404">
        <f t="shared" si="54"/>
        <v>10697597.562238503</v>
      </c>
      <c r="L135" s="404">
        <f t="shared" si="54"/>
        <v>7295277.4028799962</v>
      </c>
      <c r="M135" s="404">
        <f t="shared" si="54"/>
        <v>52707776.287951574</v>
      </c>
      <c r="N135" s="404">
        <f>SUM(N132:N134)</f>
        <v>22335924.904341906</v>
      </c>
      <c r="O135" s="404">
        <f t="shared" si="54"/>
        <v>6616647.6371734561</v>
      </c>
      <c r="P135" s="404">
        <f t="shared" si="54"/>
        <v>730539.62270493712</v>
      </c>
      <c r="Q135" s="404">
        <f t="shared" si="54"/>
        <v>237.55844123784831</v>
      </c>
      <c r="R135" s="404">
        <f t="shared" si="54"/>
        <v>14705.536071239923</v>
      </c>
      <c r="S135" s="404"/>
      <c r="T135" s="62">
        <f>SUM(G135:R135)</f>
        <v>306623825.98137379</v>
      </c>
      <c r="U135" s="61" t="str">
        <f>IF(ABS(F135-T135)&lt;0.01,"ok","err")</f>
        <v>ok</v>
      </c>
      <c r="V135" s="405" t="str">
        <f>IF(U135="err",T135-F135,"")</f>
        <v/>
      </c>
    </row>
    <row r="136" spans="1:23" ht="12" customHeight="1" x14ac:dyDescent="0.2">
      <c r="F136" s="73"/>
      <c r="G136" s="73"/>
    </row>
    <row r="137" spans="1:23" ht="12" customHeight="1" x14ac:dyDescent="0.2">
      <c r="A137" s="171" t="s">
        <v>2087</v>
      </c>
      <c r="F137" s="73"/>
      <c r="G137" s="73"/>
    </row>
    <row r="138" spans="1:23" ht="12" customHeight="1" x14ac:dyDescent="0.2">
      <c r="A138" s="403" t="s">
        <v>174</v>
      </c>
      <c r="C138" s="55" t="s">
        <v>954</v>
      </c>
      <c r="D138" s="55" t="s">
        <v>798</v>
      </c>
      <c r="E138" s="55" t="s">
        <v>2730</v>
      </c>
      <c r="F138" s="404">
        <f>VLOOKUP(C138,'Functional Assignment'!$C$1:$AU$773,17,)</f>
        <v>0</v>
      </c>
      <c r="G138" s="404">
        <f t="shared" ref="G138:R138" si="55">IF(VLOOKUP($E138,$D$5:$AH$1237,3,)=0,0,(VLOOKUP($E138,$D$5:$AH$1237,G$1,)/VLOOKUP($E138,$D$5:$AH$1237,3,))*$F138)</f>
        <v>0</v>
      </c>
      <c r="H138" s="404">
        <f t="shared" si="55"/>
        <v>0</v>
      </c>
      <c r="I138" s="404">
        <f t="shared" si="55"/>
        <v>0</v>
      </c>
      <c r="J138" s="404">
        <f t="shared" si="55"/>
        <v>0</v>
      </c>
      <c r="K138" s="404">
        <f t="shared" si="55"/>
        <v>0</v>
      </c>
      <c r="L138" s="404">
        <f t="shared" si="55"/>
        <v>0</v>
      </c>
      <c r="M138" s="404">
        <f t="shared" si="55"/>
        <v>0</v>
      </c>
      <c r="N138" s="404">
        <f t="shared" si="55"/>
        <v>0</v>
      </c>
      <c r="O138" s="404">
        <f t="shared" si="55"/>
        <v>0</v>
      </c>
      <c r="P138" s="404">
        <f t="shared" si="55"/>
        <v>0</v>
      </c>
      <c r="Q138" s="404">
        <f t="shared" si="55"/>
        <v>0</v>
      </c>
      <c r="R138" s="404">
        <f t="shared" si="55"/>
        <v>0</v>
      </c>
      <c r="S138" s="404"/>
      <c r="T138" s="62">
        <f>SUM(G138:R138)</f>
        <v>0</v>
      </c>
      <c r="U138" s="61" t="str">
        <f>IF(ABS(F138-T138)&lt;0.01,"ok","err")</f>
        <v>ok</v>
      </c>
      <c r="V138" s="62" t="str">
        <f>IF(U138="err",T138-F138,"")</f>
        <v/>
      </c>
    </row>
    <row r="139" spans="1:23" ht="12" customHeight="1" x14ac:dyDescent="0.2">
      <c r="F139" s="73"/>
    </row>
    <row r="140" spans="1:23" ht="12" customHeight="1" x14ac:dyDescent="0.2">
      <c r="A140" s="171" t="s">
        <v>2088</v>
      </c>
      <c r="F140" s="73"/>
      <c r="G140" s="73"/>
    </row>
    <row r="141" spans="1:23" ht="12" customHeight="1" x14ac:dyDescent="0.2">
      <c r="A141" s="403" t="s">
        <v>176</v>
      </c>
      <c r="C141" s="55" t="s">
        <v>954</v>
      </c>
      <c r="D141" s="55" t="s">
        <v>799</v>
      </c>
      <c r="E141" s="55" t="s">
        <v>2729</v>
      </c>
      <c r="F141" s="404">
        <f>VLOOKUP(C141,'Functional Assignment'!$C$1:$AU$773,18,)</f>
        <v>87734861.768873423</v>
      </c>
      <c r="G141" s="404">
        <f t="shared" ref="G141:R141" si="56">IF(VLOOKUP($E141,$D$5:$AH$1237,3,)=0,0,(VLOOKUP($E141,$D$5:$AH$1237,G$1,)/VLOOKUP($E141,$D$5:$AH$1237,3,))*$F141)</f>
        <v>39686222.690344445</v>
      </c>
      <c r="H141" s="404">
        <f t="shared" si="56"/>
        <v>12167050.958058093</v>
      </c>
      <c r="I141" s="404">
        <f t="shared" si="56"/>
        <v>1145799.47018206</v>
      </c>
      <c r="J141" s="404">
        <f t="shared" si="56"/>
        <v>13435475.502220083</v>
      </c>
      <c r="K141" s="404">
        <f t="shared" si="56"/>
        <v>3350639.1835710919</v>
      </c>
      <c r="L141" s="404">
        <f t="shared" si="56"/>
        <v>1987292.0269094983</v>
      </c>
      <c r="M141" s="404">
        <f t="shared" si="56"/>
        <v>15282761.594761314</v>
      </c>
      <c r="N141" s="404">
        <f t="shared" si="56"/>
        <v>0</v>
      </c>
      <c r="O141" s="404">
        <f t="shared" si="56"/>
        <v>0</v>
      </c>
      <c r="P141" s="404">
        <f t="shared" si="56"/>
        <v>676049.30752629857</v>
      </c>
      <c r="Q141" s="404">
        <f t="shared" si="56"/>
        <v>219.86760289963061</v>
      </c>
      <c r="R141" s="404">
        <f t="shared" si="56"/>
        <v>3351.1676976373756</v>
      </c>
      <c r="S141" s="404"/>
      <c r="T141" s="62">
        <f>SUM(G141:R141)</f>
        <v>87734861.768873423</v>
      </c>
      <c r="U141" s="61" t="str">
        <f>IF(ABS(F141-T141)&lt;0.01,"ok","err")</f>
        <v>ok</v>
      </c>
      <c r="V141" s="62" t="str">
        <f>IF(U141="err",T141-F141,"")</f>
        <v/>
      </c>
      <c r="W141" s="62"/>
    </row>
    <row r="142" spans="1:23" ht="12" customHeight="1" x14ac:dyDescent="0.2">
      <c r="F142" s="73"/>
    </row>
    <row r="143" spans="1:23" ht="12" customHeight="1" x14ac:dyDescent="0.2">
      <c r="A143" s="171" t="s">
        <v>175</v>
      </c>
      <c r="F143" s="73"/>
    </row>
    <row r="144" spans="1:23" ht="12" customHeight="1" x14ac:dyDescent="0.2">
      <c r="A144" s="403" t="s">
        <v>1010</v>
      </c>
      <c r="C144" s="55" t="s">
        <v>954</v>
      </c>
      <c r="D144" s="55" t="s">
        <v>800</v>
      </c>
      <c r="E144" s="55" t="s">
        <v>2730</v>
      </c>
      <c r="F144" s="404">
        <f>VLOOKUP(C144,'Functional Assignment'!$C$1:$AU$773,19,)</f>
        <v>0</v>
      </c>
      <c r="G144" s="404">
        <f t="shared" ref="G144:R148" si="57">IF(VLOOKUP($E144,$D$5:$AH$1237,3,)=0,0,(VLOOKUP($E144,$D$5:$AH$1237,G$1,)/VLOOKUP($E144,$D$5:$AH$1237,3,))*$F144)</f>
        <v>0</v>
      </c>
      <c r="H144" s="404">
        <f t="shared" si="57"/>
        <v>0</v>
      </c>
      <c r="I144" s="404">
        <f t="shared" si="57"/>
        <v>0</v>
      </c>
      <c r="J144" s="404">
        <f t="shared" si="57"/>
        <v>0</v>
      </c>
      <c r="K144" s="404">
        <f t="shared" si="57"/>
        <v>0</v>
      </c>
      <c r="L144" s="404">
        <f t="shared" si="57"/>
        <v>0</v>
      </c>
      <c r="M144" s="404">
        <f t="shared" si="57"/>
        <v>0</v>
      </c>
      <c r="N144" s="404">
        <f t="shared" si="57"/>
        <v>0</v>
      </c>
      <c r="O144" s="404">
        <f t="shared" si="57"/>
        <v>0</v>
      </c>
      <c r="P144" s="404">
        <f t="shared" si="57"/>
        <v>0</v>
      </c>
      <c r="Q144" s="404">
        <f t="shared" si="57"/>
        <v>0</v>
      </c>
      <c r="R144" s="404">
        <f t="shared" si="57"/>
        <v>0</v>
      </c>
      <c r="S144" s="404"/>
      <c r="T144" s="62">
        <f t="shared" ref="T144:T149" si="58">SUM(G144:R144)</f>
        <v>0</v>
      </c>
      <c r="U144" s="61" t="str">
        <f t="shared" ref="U144:U149" si="59">IF(ABS(F144-T144)&lt;0.01,"ok","err")</f>
        <v>ok</v>
      </c>
      <c r="V144" s="62" t="str">
        <f t="shared" ref="V144:V149" si="60">IF(U144="err",T144-F144,"")</f>
        <v/>
      </c>
    </row>
    <row r="145" spans="1:22" ht="12" customHeight="1" x14ac:dyDescent="0.2">
      <c r="A145" s="403" t="s">
        <v>1011</v>
      </c>
      <c r="C145" s="55" t="s">
        <v>954</v>
      </c>
      <c r="D145" s="55" t="s">
        <v>801</v>
      </c>
      <c r="E145" s="55" t="s">
        <v>2730</v>
      </c>
      <c r="F145" s="73">
        <f>VLOOKUP(C145,'Functional Assignment'!$C$1:$AU$773,20,)</f>
        <v>142096650.95666647</v>
      </c>
      <c r="G145" s="73">
        <f t="shared" si="57"/>
        <v>64276380.217870422</v>
      </c>
      <c r="H145" s="73">
        <f t="shared" si="57"/>
        <v>19705931.693535004</v>
      </c>
      <c r="I145" s="73">
        <f t="shared" si="57"/>
        <v>1855753.3926446191</v>
      </c>
      <c r="J145" s="73">
        <f t="shared" si="57"/>
        <v>21760290.429421224</v>
      </c>
      <c r="K145" s="73">
        <f t="shared" si="57"/>
        <v>5426743.6791989943</v>
      </c>
      <c r="L145" s="73">
        <f t="shared" si="57"/>
        <v>3218646.9073222005</v>
      </c>
      <c r="M145" s="73">
        <f t="shared" si="57"/>
        <v>24752181.700652048</v>
      </c>
      <c r="N145" s="73">
        <f t="shared" si="57"/>
        <v>0</v>
      </c>
      <c r="O145" s="73">
        <f t="shared" si="57"/>
        <v>0</v>
      </c>
      <c r="P145" s="73">
        <f t="shared" si="57"/>
        <v>1094939.2356043151</v>
      </c>
      <c r="Q145" s="73">
        <f t="shared" si="57"/>
        <v>356.10074941717136</v>
      </c>
      <c r="R145" s="73">
        <f t="shared" si="57"/>
        <v>5427.5996682242039</v>
      </c>
      <c r="S145" s="73"/>
      <c r="T145" s="73">
        <f t="shared" si="58"/>
        <v>142096650.95666647</v>
      </c>
      <c r="U145" s="61" t="str">
        <f t="shared" si="59"/>
        <v>ok</v>
      </c>
      <c r="V145" s="62" t="str">
        <f t="shared" si="60"/>
        <v/>
      </c>
    </row>
    <row r="146" spans="1:22" ht="12" customHeight="1" x14ac:dyDescent="0.2">
      <c r="A146" s="403" t="s">
        <v>1012</v>
      </c>
      <c r="C146" s="55" t="s">
        <v>954</v>
      </c>
      <c r="D146" s="55" t="s">
        <v>802</v>
      </c>
      <c r="E146" s="55" t="s">
        <v>699</v>
      </c>
      <c r="F146" s="73">
        <f>VLOOKUP(C146,'Functional Assignment'!$C$1:$AU$773,21,)</f>
        <v>203041900.0404273</v>
      </c>
      <c r="G146" s="73">
        <f t="shared" si="57"/>
        <v>161519720.50760069</v>
      </c>
      <c r="H146" s="73">
        <f t="shared" si="57"/>
        <v>31568703.988879025</v>
      </c>
      <c r="I146" s="73">
        <f t="shared" si="57"/>
        <v>247336.71258147675</v>
      </c>
      <c r="J146" s="73">
        <f t="shared" si="57"/>
        <v>2164484.7304758467</v>
      </c>
      <c r="K146" s="73">
        <f t="shared" si="57"/>
        <v>114628.83413573884</v>
      </c>
      <c r="L146" s="73">
        <f t="shared" si="57"/>
        <v>52698.490861061138</v>
      </c>
      <c r="M146" s="73">
        <f t="shared" si="57"/>
        <v>64238.306378081827</v>
      </c>
      <c r="N146" s="73">
        <f t="shared" si="57"/>
        <v>0</v>
      </c>
      <c r="O146" s="73">
        <f t="shared" si="57"/>
        <v>0</v>
      </c>
      <c r="P146" s="73">
        <f t="shared" si="57"/>
        <v>7278930.9676194154</v>
      </c>
      <c r="Q146" s="73">
        <f t="shared" si="57"/>
        <v>384.6605172340229</v>
      </c>
      <c r="R146" s="73">
        <f t="shared" si="57"/>
        <v>30772.841378721834</v>
      </c>
      <c r="S146" s="73"/>
      <c r="T146" s="73">
        <f t="shared" si="58"/>
        <v>203041900.04042733</v>
      </c>
      <c r="U146" s="61" t="str">
        <f t="shared" si="59"/>
        <v>ok</v>
      </c>
      <c r="V146" s="62" t="str">
        <f t="shared" si="60"/>
        <v/>
      </c>
    </row>
    <row r="147" spans="1:22" ht="12" customHeight="1" x14ac:dyDescent="0.2">
      <c r="A147" s="403" t="s">
        <v>1013</v>
      </c>
      <c r="C147" s="55" t="s">
        <v>954</v>
      </c>
      <c r="D147" s="55" t="s">
        <v>803</v>
      </c>
      <c r="E147" s="55" t="s">
        <v>909</v>
      </c>
      <c r="F147" s="73">
        <f>VLOOKUP(C147,'Functional Assignment'!$C$1:$AU$773,22,)</f>
        <v>25075879.580588199</v>
      </c>
      <c r="G147" s="73">
        <f t="shared" si="57"/>
        <v>17175277.374551766</v>
      </c>
      <c r="H147" s="73">
        <f t="shared" si="57"/>
        <v>3991160.1684220484</v>
      </c>
      <c r="I147" s="73">
        <f t="shared" si="57"/>
        <v>234341.25222621247</v>
      </c>
      <c r="J147" s="73">
        <f t="shared" si="57"/>
        <v>3081519.259161239</v>
      </c>
      <c r="K147" s="73">
        <f t="shared" si="57"/>
        <v>0</v>
      </c>
      <c r="L147" s="73">
        <f t="shared" si="57"/>
        <v>465824.32565851766</v>
      </c>
      <c r="M147" s="73">
        <f t="shared" si="57"/>
        <v>0</v>
      </c>
      <c r="N147" s="73">
        <f t="shared" si="57"/>
        <v>0</v>
      </c>
      <c r="O147" s="73">
        <f t="shared" si="57"/>
        <v>0</v>
      </c>
      <c r="P147" s="73">
        <f t="shared" si="57"/>
        <v>127024.45962912175</v>
      </c>
      <c r="Q147" s="73">
        <f t="shared" si="57"/>
        <v>41.311429709865457</v>
      </c>
      <c r="R147" s="73">
        <f t="shared" si="57"/>
        <v>691.42950958612562</v>
      </c>
      <c r="S147" s="73"/>
      <c r="T147" s="73">
        <f t="shared" si="58"/>
        <v>25075879.580588199</v>
      </c>
      <c r="U147" s="61" t="str">
        <f t="shared" si="59"/>
        <v>ok</v>
      </c>
      <c r="V147" s="62" t="str">
        <f t="shared" si="60"/>
        <v/>
      </c>
    </row>
    <row r="148" spans="1:22" ht="12" customHeight="1" x14ac:dyDescent="0.2">
      <c r="A148" s="403" t="s">
        <v>1014</v>
      </c>
      <c r="C148" s="55" t="s">
        <v>954</v>
      </c>
      <c r="D148" s="55" t="s">
        <v>804</v>
      </c>
      <c r="E148" s="55" t="s">
        <v>698</v>
      </c>
      <c r="F148" s="73">
        <f>VLOOKUP(C148,'Functional Assignment'!$C$1:$AU$773,23,)</f>
        <v>35830923.536545992</v>
      </c>
      <c r="G148" s="73">
        <f t="shared" si="57"/>
        <v>28528612.002007529</v>
      </c>
      <c r="H148" s="73">
        <f t="shared" si="57"/>
        <v>5575859.7443993026</v>
      </c>
      <c r="I148" s="73">
        <f t="shared" si="57"/>
        <v>43686.139902383991</v>
      </c>
      <c r="J148" s="73">
        <f t="shared" si="57"/>
        <v>382304.67998555943</v>
      </c>
      <c r="K148" s="73">
        <f t="shared" si="57"/>
        <v>0</v>
      </c>
      <c r="L148" s="73">
        <f t="shared" si="57"/>
        <v>9307.9333851113643</v>
      </c>
      <c r="M148" s="73">
        <f t="shared" si="57"/>
        <v>0</v>
      </c>
      <c r="N148" s="73">
        <f t="shared" si="57"/>
        <v>0</v>
      </c>
      <c r="O148" s="73">
        <f t="shared" si="57"/>
        <v>0</v>
      </c>
      <c r="P148" s="73">
        <f t="shared" si="57"/>
        <v>1285649.806178557</v>
      </c>
      <c r="Q148" s="73">
        <f t="shared" si="57"/>
        <v>67.941119599353016</v>
      </c>
      <c r="R148" s="73">
        <f t="shared" si="57"/>
        <v>5435.2895679482417</v>
      </c>
      <c r="S148" s="73"/>
      <c r="T148" s="73">
        <f t="shared" si="58"/>
        <v>35830923.536545984</v>
      </c>
      <c r="U148" s="61" t="str">
        <f t="shared" si="59"/>
        <v>ok</v>
      </c>
      <c r="V148" s="62" t="str">
        <f t="shared" si="60"/>
        <v/>
      </c>
    </row>
    <row r="149" spans="1:22" ht="12" customHeight="1" x14ac:dyDescent="0.2">
      <c r="A149" s="55" t="s">
        <v>180</v>
      </c>
      <c r="D149" s="55" t="s">
        <v>805</v>
      </c>
      <c r="F149" s="404">
        <f>SUM(F144:F148)</f>
        <v>406045354.11422801</v>
      </c>
      <c r="G149" s="404">
        <f t="shared" ref="G149:R149" si="61">SUM(G144:G148)</f>
        <v>271499990.1020304</v>
      </c>
      <c r="H149" s="404">
        <f t="shared" si="61"/>
        <v>60841655.595235378</v>
      </c>
      <c r="I149" s="404">
        <f>SUM(I144:I148)</f>
        <v>2381117.4973546923</v>
      </c>
      <c r="J149" s="404">
        <f t="shared" si="61"/>
        <v>27388599.099043868</v>
      </c>
      <c r="K149" s="404">
        <f t="shared" si="61"/>
        <v>5541372.5133347334</v>
      </c>
      <c r="L149" s="404">
        <f t="shared" si="61"/>
        <v>3746477.6572268903</v>
      </c>
      <c r="M149" s="404">
        <f t="shared" si="61"/>
        <v>24816420.007030129</v>
      </c>
      <c r="N149" s="404">
        <f>SUM(N144:N148)</f>
        <v>0</v>
      </c>
      <c r="O149" s="404">
        <f t="shared" si="61"/>
        <v>0</v>
      </c>
      <c r="P149" s="404">
        <f t="shared" si="61"/>
        <v>9786544.4690314084</v>
      </c>
      <c r="Q149" s="404">
        <f t="shared" si="61"/>
        <v>850.01381596041278</v>
      </c>
      <c r="R149" s="404">
        <f t="shared" si="61"/>
        <v>42327.160124480404</v>
      </c>
      <c r="S149" s="404"/>
      <c r="T149" s="62">
        <f t="shared" si="58"/>
        <v>406045354.11422783</v>
      </c>
      <c r="U149" s="61" t="str">
        <f t="shared" si="59"/>
        <v>ok</v>
      </c>
      <c r="V149" s="62" t="str">
        <f t="shared" si="60"/>
        <v/>
      </c>
    </row>
    <row r="150" spans="1:22" ht="12" customHeight="1" x14ac:dyDescent="0.2">
      <c r="F150" s="73"/>
    </row>
    <row r="151" spans="1:22" ht="12" customHeight="1" x14ac:dyDescent="0.2">
      <c r="A151" s="171" t="s">
        <v>1009</v>
      </c>
      <c r="F151" s="73"/>
    </row>
    <row r="152" spans="1:22" ht="12" customHeight="1" x14ac:dyDescent="0.2">
      <c r="A152" s="403" t="s">
        <v>501</v>
      </c>
      <c r="C152" s="55" t="s">
        <v>954</v>
      </c>
      <c r="D152" s="55" t="s">
        <v>806</v>
      </c>
      <c r="E152" s="55" t="s">
        <v>909</v>
      </c>
      <c r="F152" s="404">
        <f>VLOOKUP(C152,'Functional Assignment'!$C$1:$AU$773,24,)</f>
        <v>87891943.970627069</v>
      </c>
      <c r="G152" s="404">
        <f t="shared" ref="G152:R153" si="62">IF(VLOOKUP($E152,$D$5:$AH$1237,3,)=0,0,(VLOOKUP($E152,$D$5:$AH$1237,G$1,)/VLOOKUP($E152,$D$5:$AH$1237,3,))*$F152)</f>
        <v>60200022.568806455</v>
      </c>
      <c r="H152" s="404">
        <f t="shared" si="62"/>
        <v>13989173.331822194</v>
      </c>
      <c r="I152" s="404">
        <f t="shared" si="62"/>
        <v>821375.30388434418</v>
      </c>
      <c r="J152" s="404">
        <f t="shared" si="62"/>
        <v>10800846.175711887</v>
      </c>
      <c r="K152" s="404">
        <f t="shared" si="62"/>
        <v>0</v>
      </c>
      <c r="L152" s="404">
        <f t="shared" si="62"/>
        <v>1632732.5787059469</v>
      </c>
      <c r="M152" s="404">
        <f t="shared" si="62"/>
        <v>0</v>
      </c>
      <c r="N152" s="404">
        <f t="shared" si="62"/>
        <v>0</v>
      </c>
      <c r="O152" s="404">
        <f t="shared" si="62"/>
        <v>0</v>
      </c>
      <c r="P152" s="404">
        <f t="shared" si="62"/>
        <v>445225.72589097061</v>
      </c>
      <c r="Q152" s="404">
        <f t="shared" si="62"/>
        <v>144.79818559253201</v>
      </c>
      <c r="R152" s="404">
        <f t="shared" si="62"/>
        <v>2423.4876196815908</v>
      </c>
      <c r="S152" s="404"/>
      <c r="T152" s="62">
        <f>SUM(G152:R152)</f>
        <v>87891943.970627069</v>
      </c>
      <c r="U152" s="61" t="str">
        <f>IF(ABS(F152-T152)&lt;0.01,"ok","err")</f>
        <v>ok</v>
      </c>
      <c r="V152" s="62" t="str">
        <f>IF(U152="err",T152-F152,"")</f>
        <v/>
      </c>
    </row>
    <row r="153" spans="1:22" ht="12" customHeight="1" x14ac:dyDescent="0.2">
      <c r="A153" s="403" t="s">
        <v>504</v>
      </c>
      <c r="C153" s="55" t="s">
        <v>954</v>
      </c>
      <c r="D153" s="55" t="s">
        <v>807</v>
      </c>
      <c r="E153" s="55" t="s">
        <v>698</v>
      </c>
      <c r="F153" s="73">
        <f>VLOOKUP(C153,'Functional Assignment'!$C$1:$AU$773,25,)</f>
        <v>75203145.973011956</v>
      </c>
      <c r="G153" s="73">
        <f t="shared" si="62"/>
        <v>59876809.220564343</v>
      </c>
      <c r="H153" s="73">
        <f t="shared" si="62"/>
        <v>11702801.739268914</v>
      </c>
      <c r="I153" s="73">
        <f t="shared" si="62"/>
        <v>91689.937958911542</v>
      </c>
      <c r="J153" s="73">
        <f t="shared" si="62"/>
        <v>802393.90496857744</v>
      </c>
      <c r="K153" s="73">
        <f t="shared" si="62"/>
        <v>0</v>
      </c>
      <c r="L153" s="73">
        <f t="shared" si="62"/>
        <v>19535.803266517702</v>
      </c>
      <c r="M153" s="73">
        <f t="shared" si="62"/>
        <v>0</v>
      </c>
      <c r="N153" s="73">
        <f t="shared" si="62"/>
        <v>0</v>
      </c>
      <c r="O153" s="73">
        <f t="shared" si="62"/>
        <v>0</v>
      </c>
      <c r="P153" s="73">
        <f t="shared" si="62"/>
        <v>2698365.0015497403</v>
      </c>
      <c r="Q153" s="73">
        <f t="shared" si="62"/>
        <v>142.59710413516569</v>
      </c>
      <c r="R153" s="73">
        <f t="shared" si="62"/>
        <v>11407.768330813256</v>
      </c>
      <c r="S153" s="73"/>
      <c r="T153" s="73">
        <f>SUM(G153:R153)</f>
        <v>75203145.973011941</v>
      </c>
      <c r="U153" s="61" t="str">
        <f>IF(ABS(F153-T153)&lt;0.01,"ok","err")</f>
        <v>ok</v>
      </c>
      <c r="V153" s="62" t="str">
        <f>IF(U153="err",T153-F153,"")</f>
        <v/>
      </c>
    </row>
    <row r="154" spans="1:22" ht="12" customHeight="1" x14ac:dyDescent="0.2">
      <c r="A154" s="55" t="s">
        <v>1890</v>
      </c>
      <c r="D154" s="55" t="s">
        <v>808</v>
      </c>
      <c r="F154" s="404">
        <f t="shared" ref="F154:R154" si="63">F152+F153</f>
        <v>163095089.94363904</v>
      </c>
      <c r="G154" s="404">
        <f t="shared" si="63"/>
        <v>120076831.78937081</v>
      </c>
      <c r="H154" s="404">
        <f t="shared" si="63"/>
        <v>25691975.071091108</v>
      </c>
      <c r="I154" s="404">
        <f>I152+I153</f>
        <v>913065.2418432557</v>
      </c>
      <c r="J154" s="404">
        <f t="shared" si="63"/>
        <v>11603240.080680463</v>
      </c>
      <c r="K154" s="404">
        <f t="shared" si="63"/>
        <v>0</v>
      </c>
      <c r="L154" s="404">
        <f t="shared" si="63"/>
        <v>1652268.3819724647</v>
      </c>
      <c r="M154" s="404">
        <f t="shared" si="63"/>
        <v>0</v>
      </c>
      <c r="N154" s="404">
        <f>N152+N153</f>
        <v>0</v>
      </c>
      <c r="O154" s="404">
        <f t="shared" si="63"/>
        <v>0</v>
      </c>
      <c r="P154" s="404">
        <f t="shared" si="63"/>
        <v>3143590.7274407111</v>
      </c>
      <c r="Q154" s="404">
        <f t="shared" si="63"/>
        <v>287.39528972769767</v>
      </c>
      <c r="R154" s="404">
        <f t="shared" si="63"/>
        <v>13831.255950494848</v>
      </c>
      <c r="S154" s="404"/>
      <c r="T154" s="62">
        <f>SUM(G154:R154)</f>
        <v>163095089.94363901</v>
      </c>
      <c r="U154" s="61" t="str">
        <f>IF(ABS(F154-T154)&lt;0.01,"ok","err")</f>
        <v>ok</v>
      </c>
      <c r="V154" s="62" t="str">
        <f>IF(U154="err",T154-F154,"")</f>
        <v/>
      </c>
    </row>
    <row r="155" spans="1:22" ht="12" customHeight="1" x14ac:dyDescent="0.2">
      <c r="F155" s="73"/>
    </row>
    <row r="156" spans="1:22" ht="12" customHeight="1" x14ac:dyDescent="0.2">
      <c r="A156" s="171" t="s">
        <v>148</v>
      </c>
      <c r="F156" s="73"/>
    </row>
    <row r="157" spans="1:22" ht="12" customHeight="1" x14ac:dyDescent="0.2">
      <c r="A157" s="403" t="s">
        <v>504</v>
      </c>
      <c r="C157" s="55" t="s">
        <v>954</v>
      </c>
      <c r="D157" s="55" t="s">
        <v>809</v>
      </c>
      <c r="E157" s="55" t="s">
        <v>505</v>
      </c>
      <c r="F157" s="404">
        <f>VLOOKUP(C157,'Functional Assignment'!$C$1:$AU$773,26,)</f>
        <v>50406261.893416151</v>
      </c>
      <c r="G157" s="404">
        <f t="shared" ref="G157:R157" si="64">IF(VLOOKUP($E157,$D$5:$AH$1237,3,)=0,0,(VLOOKUP($E157,$D$5:$AH$1237,G$1,)/VLOOKUP($E157,$D$5:$AH$1237,3,))*$F157)</f>
        <v>29688286.866140649</v>
      </c>
      <c r="H157" s="404">
        <f t="shared" si="64"/>
        <v>19484132.806316115</v>
      </c>
      <c r="I157" s="404">
        <f t="shared" si="64"/>
        <v>93000.510670959091</v>
      </c>
      <c r="J157" s="404">
        <f t="shared" si="64"/>
        <v>1069342.8554837867</v>
      </c>
      <c r="K157" s="404">
        <f t="shared" si="64"/>
        <v>0</v>
      </c>
      <c r="L157" s="404">
        <f t="shared" si="64"/>
        <v>19815.038821028607</v>
      </c>
      <c r="M157" s="404">
        <f t="shared" si="64"/>
        <v>0</v>
      </c>
      <c r="N157" s="404">
        <f t="shared" si="64"/>
        <v>0</v>
      </c>
      <c r="O157" s="404">
        <f t="shared" si="64"/>
        <v>0</v>
      </c>
      <c r="P157" s="404">
        <f t="shared" si="64"/>
        <v>0</v>
      </c>
      <c r="Q157" s="404">
        <f t="shared" si="64"/>
        <v>777.73184106659903</v>
      </c>
      <c r="R157" s="404">
        <f t="shared" si="64"/>
        <v>50906.08414254104</v>
      </c>
      <c r="S157" s="404"/>
      <c r="T157" s="62">
        <f>SUM(G157:R157)</f>
        <v>50406261.893416144</v>
      </c>
      <c r="U157" s="61" t="str">
        <f>IF(ABS(F157-T157)&lt;0.01,"ok","err")</f>
        <v>ok</v>
      </c>
      <c r="V157" s="62" t="str">
        <f>IF(U157="err",T157-F157,"")</f>
        <v/>
      </c>
    </row>
    <row r="158" spans="1:22" ht="12" customHeight="1" x14ac:dyDescent="0.2">
      <c r="F158" s="73"/>
    </row>
    <row r="159" spans="1:22" ht="12" customHeight="1" x14ac:dyDescent="0.2">
      <c r="A159" s="171" t="s">
        <v>147</v>
      </c>
      <c r="F159" s="73"/>
    </row>
    <row r="160" spans="1:22" ht="12" customHeight="1" x14ac:dyDescent="0.2">
      <c r="A160" s="403" t="s">
        <v>504</v>
      </c>
      <c r="C160" s="55" t="s">
        <v>954</v>
      </c>
      <c r="D160" s="55" t="s">
        <v>810</v>
      </c>
      <c r="E160" s="55" t="s">
        <v>506</v>
      </c>
      <c r="F160" s="404">
        <f>VLOOKUP(C160,'Functional Assignment'!$C$1:$AU$773,27,)</f>
        <v>40962403.651307575</v>
      </c>
      <c r="G160" s="404">
        <f t="shared" ref="G160:R160" si="65">IF(VLOOKUP($E160,$D$5:$AH$1237,3,)=0,0,(VLOOKUP($E160,$D$5:$AH$1237,G$1,)/VLOOKUP($E160,$D$5:$AH$1237,3,))*$F160)</f>
        <v>25704577.318519823</v>
      </c>
      <c r="H160" s="404">
        <f t="shared" si="65"/>
        <v>9371384.2671697047</v>
      </c>
      <c r="I160" s="404">
        <f t="shared" si="65"/>
        <v>219007.50988844913</v>
      </c>
      <c r="J160" s="404">
        <f t="shared" si="65"/>
        <v>2749877.5882401364</v>
      </c>
      <c r="K160" s="404">
        <f t="shared" si="65"/>
        <v>1009270.4378547921</v>
      </c>
      <c r="L160" s="404">
        <f t="shared" si="65"/>
        <v>103397.608909609</v>
      </c>
      <c r="M160" s="404">
        <f t="shared" si="65"/>
        <v>730299.0122874541</v>
      </c>
      <c r="N160" s="404">
        <f t="shared" si="65"/>
        <v>993346.08687017928</v>
      </c>
      <c r="O160" s="404">
        <f t="shared" si="65"/>
        <v>36495.175407529416</v>
      </c>
      <c r="P160" s="404">
        <f t="shared" si="65"/>
        <v>0</v>
      </c>
      <c r="Q160" s="404">
        <f t="shared" si="65"/>
        <v>673.37224043638298</v>
      </c>
      <c r="R160" s="404">
        <f t="shared" si="65"/>
        <v>44075.27391947234</v>
      </c>
      <c r="S160" s="404"/>
      <c r="T160" s="62">
        <f>SUM(G160:R160)</f>
        <v>40962403.651307583</v>
      </c>
      <c r="U160" s="61" t="str">
        <f>IF(ABS(F160-T160)&lt;0.01,"ok","err")</f>
        <v>ok</v>
      </c>
      <c r="V160" s="62" t="str">
        <f>IF(U160="err",T160-F160,"")</f>
        <v/>
      </c>
    </row>
    <row r="161" spans="1:24" ht="12" customHeight="1" x14ac:dyDescent="0.2">
      <c r="F161" s="73"/>
    </row>
    <row r="162" spans="1:24" ht="12" customHeight="1" x14ac:dyDescent="0.2">
      <c r="A162" s="171" t="s">
        <v>173</v>
      </c>
      <c r="F162" s="73"/>
    </row>
    <row r="163" spans="1:24" ht="12" customHeight="1" x14ac:dyDescent="0.2">
      <c r="A163" s="403" t="s">
        <v>504</v>
      </c>
      <c r="C163" s="55" t="s">
        <v>954</v>
      </c>
      <c r="D163" s="55" t="s">
        <v>811</v>
      </c>
      <c r="E163" s="55" t="s">
        <v>695</v>
      </c>
      <c r="F163" s="404">
        <f>VLOOKUP(C163,'Functional Assignment'!$C$1:$AU$773,28,)</f>
        <v>58662875.849426992</v>
      </c>
      <c r="G163" s="404">
        <f t="shared" ref="G163:R163" si="66">IF(VLOOKUP($E163,$D$5:$AH$1237,3,)=0,0,(VLOOKUP($E163,$D$5:$AH$1237,G$1,)/VLOOKUP($E163,$D$5:$AH$1237,3,))*$F163)</f>
        <v>0</v>
      </c>
      <c r="H163" s="404">
        <f t="shared" si="66"/>
        <v>0</v>
      </c>
      <c r="I163" s="404">
        <f t="shared" si="66"/>
        <v>0</v>
      </c>
      <c r="J163" s="404">
        <f t="shared" si="66"/>
        <v>0</v>
      </c>
      <c r="K163" s="404">
        <f t="shared" si="66"/>
        <v>0</v>
      </c>
      <c r="L163" s="404">
        <f t="shared" si="66"/>
        <v>0</v>
      </c>
      <c r="M163" s="404">
        <f t="shared" si="66"/>
        <v>0</v>
      </c>
      <c r="N163" s="404">
        <f t="shared" si="66"/>
        <v>0</v>
      </c>
      <c r="O163" s="404">
        <f t="shared" si="66"/>
        <v>0</v>
      </c>
      <c r="P163" s="404">
        <f t="shared" si="66"/>
        <v>58662875.849426977</v>
      </c>
      <c r="Q163" s="404">
        <f t="shared" si="66"/>
        <v>0</v>
      </c>
      <c r="R163" s="404">
        <f t="shared" si="66"/>
        <v>0</v>
      </c>
      <c r="S163" s="404"/>
      <c r="T163" s="62">
        <f>SUM(G163:R163)</f>
        <v>58662875.849426977</v>
      </c>
      <c r="U163" s="61" t="str">
        <f>IF(ABS(F163-T163)&lt;0.01,"ok","err")</f>
        <v>ok</v>
      </c>
      <c r="V163" s="62" t="str">
        <f>IF(U163="err",T163-F163,"")</f>
        <v/>
      </c>
      <c r="X163" s="407"/>
    </row>
    <row r="164" spans="1:24" ht="12" customHeight="1" x14ac:dyDescent="0.2">
      <c r="F164" s="73"/>
    </row>
    <row r="165" spans="1:24" ht="12" customHeight="1" x14ac:dyDescent="0.2">
      <c r="A165" s="171" t="s">
        <v>381</v>
      </c>
      <c r="F165" s="73"/>
    </row>
    <row r="166" spans="1:24" ht="12" customHeight="1" x14ac:dyDescent="0.2">
      <c r="A166" s="403" t="s">
        <v>504</v>
      </c>
      <c r="C166" s="55" t="s">
        <v>954</v>
      </c>
      <c r="D166" s="55" t="s">
        <v>812</v>
      </c>
      <c r="E166" s="55" t="s">
        <v>694</v>
      </c>
      <c r="F166" s="404">
        <f>VLOOKUP(C166,'Functional Assignment'!$C$1:$AU$773,30,)</f>
        <v>4672230.2343217088</v>
      </c>
      <c r="G166" s="404">
        <f t="shared" ref="G166:R166" si="67">IF(VLOOKUP($E166,$D$5:$AH$1237,3,)=0,0,(VLOOKUP($E166,$D$5:$AH$1237,G$1,)/VLOOKUP($E166,$D$5:$AH$1237,3,))*$F166)</f>
        <v>3030167.3488601479</v>
      </c>
      <c r="H166" s="404">
        <f t="shared" si="67"/>
        <v>1184480.208018078</v>
      </c>
      <c r="I166" s="404">
        <f t="shared" si="67"/>
        <v>46401.246131646796</v>
      </c>
      <c r="J166" s="404">
        <f t="shared" si="67"/>
        <v>203032.51320589156</v>
      </c>
      <c r="K166" s="404">
        <f t="shared" si="67"/>
        <v>10752.388294891716</v>
      </c>
      <c r="L166" s="404">
        <f t="shared" si="67"/>
        <v>24716.060342284647</v>
      </c>
      <c r="M166" s="404">
        <f t="shared" si="67"/>
        <v>30128.336329646248</v>
      </c>
      <c r="N166" s="404">
        <f t="shared" si="67"/>
        <v>5051.4575882041618</v>
      </c>
      <c r="O166" s="404">
        <f t="shared" si="67"/>
        <v>360.81839915744013</v>
      </c>
      <c r="P166" s="404">
        <f t="shared" si="67"/>
        <v>136555.33134512478</v>
      </c>
      <c r="Q166" s="404">
        <f t="shared" si="67"/>
        <v>7.2163679831488023</v>
      </c>
      <c r="R166" s="404">
        <f t="shared" si="67"/>
        <v>577.3094386519042</v>
      </c>
      <c r="S166" s="404"/>
      <c r="T166" s="62">
        <f>SUM(G166:R166)</f>
        <v>4672230.2343217088</v>
      </c>
      <c r="U166" s="61" t="str">
        <f>IF(ABS(F166-T166)&lt;0.01,"ok","err")</f>
        <v>ok</v>
      </c>
      <c r="V166" s="62" t="str">
        <f>IF(U166="err",T166-F166,"")</f>
        <v/>
      </c>
    </row>
    <row r="167" spans="1:24" ht="12" customHeight="1" x14ac:dyDescent="0.2">
      <c r="F167" s="73"/>
    </row>
    <row r="168" spans="1:24" ht="12" customHeight="1" x14ac:dyDescent="0.2">
      <c r="A168" s="171" t="s">
        <v>2090</v>
      </c>
      <c r="F168" s="73"/>
    </row>
    <row r="169" spans="1:24" ht="12" customHeight="1" x14ac:dyDescent="0.2">
      <c r="A169" s="403" t="s">
        <v>504</v>
      </c>
      <c r="C169" s="55" t="s">
        <v>954</v>
      </c>
      <c r="D169" s="55" t="s">
        <v>813</v>
      </c>
      <c r="E169" s="55" t="s">
        <v>694</v>
      </c>
      <c r="F169" s="404">
        <f>VLOOKUP(C169,'Functional Assignment'!$C$1:$AU$773,32,)</f>
        <v>1981856.3511057806</v>
      </c>
      <c r="G169" s="404">
        <f t="shared" ref="G169:R169" si="68">IF(VLOOKUP($E169,$D$5:$AH$1237,3,)=0,0,(VLOOKUP($E169,$D$5:$AH$1237,G$1,)/VLOOKUP($E169,$D$5:$AH$1237,3,))*$F169)</f>
        <v>1285329.7256494635</v>
      </c>
      <c r="H169" s="404">
        <f t="shared" si="68"/>
        <v>502430.21111747896</v>
      </c>
      <c r="I169" s="404">
        <f t="shared" si="68"/>
        <v>19682.378592924182</v>
      </c>
      <c r="J169" s="404">
        <f t="shared" si="68"/>
        <v>86121.885180703248</v>
      </c>
      <c r="K169" s="404">
        <f t="shared" si="68"/>
        <v>4560.9244328860086</v>
      </c>
      <c r="L169" s="404">
        <f t="shared" si="68"/>
        <v>10484.004149419179</v>
      </c>
      <c r="M169" s="404">
        <f t="shared" si="68"/>
        <v>12779.771481408779</v>
      </c>
      <c r="N169" s="404">
        <f t="shared" si="68"/>
        <v>2142.7161765236278</v>
      </c>
      <c r="O169" s="404">
        <f t="shared" si="68"/>
        <v>153.05115546597344</v>
      </c>
      <c r="P169" s="404">
        <f t="shared" si="68"/>
        <v>57923.740297652301</v>
      </c>
      <c r="Q169" s="404">
        <f t="shared" si="68"/>
        <v>3.0610231093194686</v>
      </c>
      <c r="R169" s="404">
        <f t="shared" si="68"/>
        <v>244.88184874555748</v>
      </c>
      <c r="S169" s="404"/>
      <c r="T169" s="62">
        <f>SUM(G169:R169)</f>
        <v>1981856.3511057808</v>
      </c>
      <c r="U169" s="61" t="str">
        <f>IF(ABS(F169-T169)&lt;0.01,"ok","err")</f>
        <v>ok</v>
      </c>
      <c r="V169" s="62" t="str">
        <f>IF(U169="err",T169-F169,"")</f>
        <v/>
      </c>
    </row>
    <row r="170" spans="1:24" ht="12" customHeight="1" x14ac:dyDescent="0.2">
      <c r="F170" s="73"/>
    </row>
    <row r="171" spans="1:24" ht="12" customHeight="1" x14ac:dyDescent="0.2">
      <c r="A171" s="171" t="s">
        <v>2089</v>
      </c>
      <c r="F171" s="73"/>
    </row>
    <row r="172" spans="1:24" ht="12" customHeight="1" x14ac:dyDescent="0.2">
      <c r="A172" s="403" t="s">
        <v>504</v>
      </c>
      <c r="C172" s="55" t="s">
        <v>954</v>
      </c>
      <c r="D172" s="55" t="s">
        <v>814</v>
      </c>
      <c r="E172" s="55" t="s">
        <v>697</v>
      </c>
      <c r="F172" s="404">
        <f>VLOOKUP(C172,'Functional Assignment'!$C$1:$AU$773,34,)</f>
        <v>0</v>
      </c>
      <c r="G172" s="404">
        <f t="shared" ref="G172:R172" si="69">IF(VLOOKUP($E172,$D$5:$AH$1237,3,)=0,0,(VLOOKUP($E172,$D$5:$AH$1237,G$1,)/VLOOKUP($E172,$D$5:$AH$1237,3,))*$F172)</f>
        <v>0</v>
      </c>
      <c r="H172" s="404">
        <f t="shared" si="69"/>
        <v>0</v>
      </c>
      <c r="I172" s="404">
        <f t="shared" si="69"/>
        <v>0</v>
      </c>
      <c r="J172" s="404">
        <f t="shared" si="69"/>
        <v>0</v>
      </c>
      <c r="K172" s="404">
        <f t="shared" si="69"/>
        <v>0</v>
      </c>
      <c r="L172" s="404">
        <f t="shared" si="69"/>
        <v>0</v>
      </c>
      <c r="M172" s="404">
        <f t="shared" si="69"/>
        <v>0</v>
      </c>
      <c r="N172" s="404">
        <f t="shared" si="69"/>
        <v>0</v>
      </c>
      <c r="O172" s="404">
        <f t="shared" si="69"/>
        <v>0</v>
      </c>
      <c r="P172" s="404">
        <f t="shared" si="69"/>
        <v>0</v>
      </c>
      <c r="Q172" s="404">
        <f t="shared" si="69"/>
        <v>0</v>
      </c>
      <c r="R172" s="404">
        <f t="shared" si="69"/>
        <v>0</v>
      </c>
      <c r="S172" s="404"/>
      <c r="T172" s="62">
        <f>SUM(G172:R172)</f>
        <v>0</v>
      </c>
      <c r="U172" s="61" t="str">
        <f>IF(ABS(F172-T172)&lt;0.01,"ok","err")</f>
        <v>ok</v>
      </c>
      <c r="V172" s="62" t="str">
        <f>IF(U172="err",T172-F172,"")</f>
        <v/>
      </c>
    </row>
    <row r="173" spans="1:24" ht="12" customHeight="1" x14ac:dyDescent="0.2">
      <c r="F173" s="73"/>
    </row>
    <row r="174" spans="1:24" ht="12" customHeight="1" x14ac:dyDescent="0.2">
      <c r="A174" s="55" t="s">
        <v>82</v>
      </c>
      <c r="D174" s="55" t="s">
        <v>514</v>
      </c>
      <c r="F174" s="404">
        <f>F129+F135+F138+F141+F149+F154+F157+F160+F163+F166+F169+F172</f>
        <v>3500935145.9468822</v>
      </c>
      <c r="G174" s="404">
        <f t="shared" ref="G174:R174" si="70">G129+G135+G138+G141+G149+G154+G157+G160+G163+G166+G169+G172</f>
        <v>1548738985.592149</v>
      </c>
      <c r="H174" s="404">
        <f t="shared" si="70"/>
        <v>443688101.28910929</v>
      </c>
      <c r="I174" s="404">
        <f>I129+I135+I138+I141+I149+I154+I157+I160+I163+I166+I169+I172</f>
        <v>26545088.772189468</v>
      </c>
      <c r="J174" s="404">
        <f t="shared" si="70"/>
        <v>466728220.29690921</v>
      </c>
      <c r="K174" s="404">
        <f t="shared" si="70"/>
        <v>103973077.01513284</v>
      </c>
      <c r="L174" s="404">
        <f t="shared" si="70"/>
        <v>71596666.097154915</v>
      </c>
      <c r="M174" s="404">
        <f>M129+M135+M138+M141+M149+M154+M157+M160+M163+M166+M169+M172</f>
        <v>504468963.40468323</v>
      </c>
      <c r="N174" s="404">
        <f>N129+N135+N138+N141+N149+N154+N157+N160+N163+N166+N169+N172</f>
        <v>197373813.70709348</v>
      </c>
      <c r="O174" s="404">
        <f t="shared" si="70"/>
        <v>58364474.805565506</v>
      </c>
      <c r="P174" s="404">
        <f t="shared" si="70"/>
        <v>79167563.99216941</v>
      </c>
      <c r="Q174" s="404">
        <f t="shared" si="70"/>
        <v>4998.5494176755246</v>
      </c>
      <c r="R174" s="404">
        <f t="shared" si="70"/>
        <v>285192.4253095552</v>
      </c>
      <c r="S174" s="404"/>
      <c r="T174" s="62">
        <f>SUM(G174:R174)</f>
        <v>3500935145.9468832</v>
      </c>
      <c r="U174" s="61" t="str">
        <f>IF(ABS(F174-T174)&lt;0.01,"ok","err")</f>
        <v>ok</v>
      </c>
      <c r="V174" s="405" t="str">
        <f>IF(U174="err",T174-F174,"")</f>
        <v/>
      </c>
    </row>
    <row r="177" spans="1:22" ht="12" customHeight="1" x14ac:dyDescent="0.2">
      <c r="A177" s="402" t="s">
        <v>945</v>
      </c>
    </row>
    <row r="179" spans="1:22" ht="12" customHeight="1" x14ac:dyDescent="0.2">
      <c r="A179" s="171" t="s">
        <v>166</v>
      </c>
    </row>
    <row r="180" spans="1:22" ht="12" customHeight="1" x14ac:dyDescent="0.2">
      <c r="A180" s="403" t="s">
        <v>153</v>
      </c>
      <c r="C180" s="55" t="s">
        <v>1037</v>
      </c>
      <c r="D180" s="55" t="s">
        <v>815</v>
      </c>
      <c r="E180" s="55" t="s">
        <v>2831</v>
      </c>
      <c r="F180" s="404">
        <f>VLOOKUP(C180,'Functional Assignment'!$C$1:$AU$773,6,)</f>
        <v>31138404.047316972</v>
      </c>
      <c r="G180" s="404">
        <f t="shared" ref="G180:R185" si="71">IF(VLOOKUP($E180,$D$5:$AH$1237,3,)=0,0,(VLOOKUP($E180,$D$5:$AH$1237,G$1,)/VLOOKUP($E180,$D$5:$AH$1237,3,))*$F180)</f>
        <v>10403876.404603273</v>
      </c>
      <c r="H180" s="404">
        <f t="shared" si="71"/>
        <v>3283351.7501202198</v>
      </c>
      <c r="I180" s="404">
        <f t="shared" si="71"/>
        <v>273441.45935786073</v>
      </c>
      <c r="J180" s="404">
        <f t="shared" si="71"/>
        <v>5344802.853748953</v>
      </c>
      <c r="K180" s="404">
        <f t="shared" si="71"/>
        <v>1139808.7608201196</v>
      </c>
      <c r="L180" s="404">
        <f t="shared" si="71"/>
        <v>863912.83050937031</v>
      </c>
      <c r="M180" s="404">
        <f t="shared" si="71"/>
        <v>6226261.530223161</v>
      </c>
      <c r="N180" s="404">
        <f t="shared" si="71"/>
        <v>2554591.6808547615</v>
      </c>
      <c r="O180" s="404">
        <f t="shared" si="71"/>
        <v>830272.65342561447</v>
      </c>
      <c r="P180" s="404">
        <f t="shared" si="71"/>
        <v>215947.77204827813</v>
      </c>
      <c r="Q180" s="404">
        <f t="shared" si="71"/>
        <v>70.222359639615547</v>
      </c>
      <c r="R180" s="404">
        <f t="shared" si="71"/>
        <v>2066.129245719992</v>
      </c>
      <c r="S180" s="404"/>
      <c r="T180" s="62">
        <f t="shared" ref="T180:T186" si="72">SUM(G180:R180)</f>
        <v>31138404.047316976</v>
      </c>
      <c r="U180" s="61" t="str">
        <f t="shared" ref="U180:U186" si="73">IF(ABS(F180-T180)&lt;0.01,"ok","err")</f>
        <v>ok</v>
      </c>
      <c r="V180" s="405" t="str">
        <f t="shared" ref="V180:V186" si="74">IF(U180="err",T180-F180,"")</f>
        <v/>
      </c>
    </row>
    <row r="181" spans="1:22" ht="12" customHeight="1" x14ac:dyDescent="0.2">
      <c r="A181" s="403" t="s">
        <v>157</v>
      </c>
      <c r="C181" s="55" t="s">
        <v>1037</v>
      </c>
      <c r="D181" s="55" t="s">
        <v>816</v>
      </c>
      <c r="E181" s="55" t="s">
        <v>59</v>
      </c>
      <c r="F181" s="73">
        <f>VLOOKUP(C181,'Functional Assignment'!$C$1:$AU$773,7,)</f>
        <v>29353480.623651043</v>
      </c>
      <c r="G181" s="73">
        <f t="shared" si="71"/>
        <v>13405655.581165964</v>
      </c>
      <c r="H181" s="73">
        <f t="shared" si="71"/>
        <v>3702175.2306535393</v>
      </c>
      <c r="I181" s="73">
        <f t="shared" si="71"/>
        <v>249594.91629138752</v>
      </c>
      <c r="J181" s="73">
        <f t="shared" si="71"/>
        <v>3719831.3238073383</v>
      </c>
      <c r="K181" s="73">
        <f t="shared" si="71"/>
        <v>826006.96481624874</v>
      </c>
      <c r="L181" s="73">
        <f t="shared" si="71"/>
        <v>553227.80239858862</v>
      </c>
      <c r="M181" s="73">
        <f t="shared" si="71"/>
        <v>4435819.6619298933</v>
      </c>
      <c r="N181" s="73">
        <f t="shared" si="71"/>
        <v>1976326.5886786154</v>
      </c>
      <c r="O181" s="73">
        <f t="shared" si="71"/>
        <v>483704.68496553833</v>
      </c>
      <c r="P181" s="73">
        <f t="shared" si="71"/>
        <v>0</v>
      </c>
      <c r="Q181" s="73">
        <f t="shared" si="71"/>
        <v>0</v>
      </c>
      <c r="R181" s="73">
        <f t="shared" si="71"/>
        <v>1137.8689439342745</v>
      </c>
      <c r="S181" s="73"/>
      <c r="T181" s="73">
        <f t="shared" si="72"/>
        <v>29353480.623651046</v>
      </c>
      <c r="U181" s="61" t="str">
        <f t="shared" si="73"/>
        <v>ok</v>
      </c>
      <c r="V181" s="62" t="str">
        <f t="shared" si="74"/>
        <v/>
      </c>
    </row>
    <row r="182" spans="1:22" ht="12" customHeight="1" x14ac:dyDescent="0.2">
      <c r="A182" s="403" t="s">
        <v>154</v>
      </c>
      <c r="C182" s="55" t="s">
        <v>1037</v>
      </c>
      <c r="D182" s="55" t="s">
        <v>817</v>
      </c>
      <c r="E182" s="55" t="s">
        <v>62</v>
      </c>
      <c r="F182" s="73">
        <f>VLOOKUP(C182,'Functional Assignment'!$C$1:$AU$773,8,)</f>
        <v>30146227.239274755</v>
      </c>
      <c r="G182" s="73">
        <f t="shared" si="71"/>
        <v>12001691.499947997</v>
      </c>
      <c r="H182" s="73">
        <f t="shared" si="71"/>
        <v>3642696.717063983</v>
      </c>
      <c r="I182" s="73">
        <f t="shared" si="71"/>
        <v>208018.17314520845</v>
      </c>
      <c r="J182" s="73">
        <f t="shared" si="71"/>
        <v>4725082.6815928295</v>
      </c>
      <c r="K182" s="73">
        <f t="shared" si="71"/>
        <v>1196397.9148516143</v>
      </c>
      <c r="L182" s="73">
        <f t="shared" si="71"/>
        <v>739345.9595549159</v>
      </c>
      <c r="M182" s="73">
        <f t="shared" si="71"/>
        <v>4918356.2067906251</v>
      </c>
      <c r="N182" s="73">
        <f t="shared" si="71"/>
        <v>2071589.0686325093</v>
      </c>
      <c r="O182" s="73">
        <f t="shared" si="71"/>
        <v>641906.05419687706</v>
      </c>
      <c r="P182" s="73">
        <f t="shared" si="71"/>
        <v>0</v>
      </c>
      <c r="Q182" s="73">
        <f t="shared" si="71"/>
        <v>0</v>
      </c>
      <c r="R182" s="73">
        <f t="shared" si="71"/>
        <v>1142.9634982027083</v>
      </c>
      <c r="S182" s="73"/>
      <c r="T182" s="73">
        <f t="shared" si="72"/>
        <v>30146227.239274759</v>
      </c>
      <c r="U182" s="61" t="str">
        <f t="shared" si="73"/>
        <v>ok</v>
      </c>
      <c r="V182" s="62" t="str">
        <f t="shared" si="74"/>
        <v/>
      </c>
    </row>
    <row r="183" spans="1:22" ht="12" customHeight="1" x14ac:dyDescent="0.2">
      <c r="A183" s="403" t="s">
        <v>155</v>
      </c>
      <c r="C183" s="55" t="s">
        <v>1037</v>
      </c>
      <c r="D183" s="55" t="s">
        <v>818</v>
      </c>
      <c r="E183" s="55" t="s">
        <v>502</v>
      </c>
      <c r="F183" s="73">
        <f>VLOOKUP(C183,'Functional Assignment'!$C$1:$AU$773,9,)</f>
        <v>611931189.03285611</v>
      </c>
      <c r="G183" s="73">
        <f t="shared" si="71"/>
        <v>204629936.74406466</v>
      </c>
      <c r="H183" s="73">
        <f t="shared" si="71"/>
        <v>65499953.912965789</v>
      </c>
      <c r="I183" s="73">
        <f t="shared" si="71"/>
        <v>5412903.2180006849</v>
      </c>
      <c r="J183" s="73">
        <f t="shared" si="71"/>
        <v>105438153.86005451</v>
      </c>
      <c r="K183" s="73">
        <f t="shared" si="71"/>
        <v>24108890.623904489</v>
      </c>
      <c r="L183" s="73">
        <f t="shared" si="71"/>
        <v>15608523.916467898</v>
      </c>
      <c r="M183" s="73">
        <f t="shared" si="71"/>
        <v>120395218.88158435</v>
      </c>
      <c r="N183" s="73">
        <f t="shared" si="71"/>
        <v>50237389.303680383</v>
      </c>
      <c r="O183" s="73">
        <f t="shared" si="71"/>
        <v>16316499.421739621</v>
      </c>
      <c r="P183" s="73">
        <f t="shared" si="71"/>
        <v>4243800.5976576088</v>
      </c>
      <c r="Q183" s="73">
        <f t="shared" si="71"/>
        <v>1378.733528016242</v>
      </c>
      <c r="R183" s="73">
        <f t="shared" si="71"/>
        <v>38539.819208108442</v>
      </c>
      <c r="S183" s="73"/>
      <c r="T183" s="73">
        <f t="shared" si="72"/>
        <v>611931189.03285611</v>
      </c>
      <c r="U183" s="61" t="str">
        <f t="shared" si="73"/>
        <v>ok</v>
      </c>
      <c r="V183" s="62" t="str">
        <f t="shared" si="74"/>
        <v/>
      </c>
    </row>
    <row r="184" spans="1:22" ht="12" customHeight="1" x14ac:dyDescent="0.2">
      <c r="A184" s="403" t="s">
        <v>158</v>
      </c>
      <c r="C184" s="55" t="s">
        <v>1037</v>
      </c>
      <c r="D184" s="55" t="s">
        <v>830</v>
      </c>
      <c r="E184" s="55" t="s">
        <v>502</v>
      </c>
      <c r="F184" s="73">
        <f>VLOOKUP(C184,'Functional Assignment'!$C$1:$AU$773,10,)</f>
        <v>0</v>
      </c>
      <c r="G184" s="73">
        <f t="shared" si="71"/>
        <v>0</v>
      </c>
      <c r="H184" s="73">
        <f t="shared" si="71"/>
        <v>0</v>
      </c>
      <c r="I184" s="73">
        <f t="shared" si="71"/>
        <v>0</v>
      </c>
      <c r="J184" s="73">
        <f t="shared" si="71"/>
        <v>0</v>
      </c>
      <c r="K184" s="73">
        <f t="shared" si="71"/>
        <v>0</v>
      </c>
      <c r="L184" s="73">
        <f t="shared" si="71"/>
        <v>0</v>
      </c>
      <c r="M184" s="73">
        <f t="shared" si="71"/>
        <v>0</v>
      </c>
      <c r="N184" s="73">
        <f t="shared" si="71"/>
        <v>0</v>
      </c>
      <c r="O184" s="73">
        <f t="shared" si="71"/>
        <v>0</v>
      </c>
      <c r="P184" s="73">
        <f t="shared" si="71"/>
        <v>0</v>
      </c>
      <c r="Q184" s="73">
        <f t="shared" si="71"/>
        <v>0</v>
      </c>
      <c r="R184" s="73">
        <f t="shared" si="71"/>
        <v>0</v>
      </c>
      <c r="S184" s="73"/>
      <c r="T184" s="73">
        <f t="shared" si="72"/>
        <v>0</v>
      </c>
      <c r="U184" s="61" t="str">
        <f t="shared" si="73"/>
        <v>ok</v>
      </c>
      <c r="V184" s="62" t="str">
        <f t="shared" si="74"/>
        <v/>
      </c>
    </row>
    <row r="185" spans="1:22" ht="12" customHeight="1" x14ac:dyDescent="0.2">
      <c r="A185" s="403" t="s">
        <v>156</v>
      </c>
      <c r="C185" s="55" t="s">
        <v>1037</v>
      </c>
      <c r="D185" s="55" t="s">
        <v>831</v>
      </c>
      <c r="E185" s="55" t="s">
        <v>502</v>
      </c>
      <c r="F185" s="73">
        <f>VLOOKUP(C185,'Functional Assignment'!$C$1:$AU$773,11,)</f>
        <v>0</v>
      </c>
      <c r="G185" s="73">
        <f t="shared" si="71"/>
        <v>0</v>
      </c>
      <c r="H185" s="73">
        <f t="shared" si="71"/>
        <v>0</v>
      </c>
      <c r="I185" s="73">
        <f t="shared" si="71"/>
        <v>0</v>
      </c>
      <c r="J185" s="73">
        <f t="shared" si="71"/>
        <v>0</v>
      </c>
      <c r="K185" s="73">
        <f t="shared" si="71"/>
        <v>0</v>
      </c>
      <c r="L185" s="73">
        <f t="shared" si="71"/>
        <v>0</v>
      </c>
      <c r="M185" s="73">
        <f t="shared" si="71"/>
        <v>0</v>
      </c>
      <c r="N185" s="73">
        <f t="shared" si="71"/>
        <v>0</v>
      </c>
      <c r="O185" s="73">
        <f t="shared" si="71"/>
        <v>0</v>
      </c>
      <c r="P185" s="73">
        <f t="shared" si="71"/>
        <v>0</v>
      </c>
      <c r="Q185" s="73">
        <f t="shared" si="71"/>
        <v>0</v>
      </c>
      <c r="R185" s="73">
        <f t="shared" si="71"/>
        <v>0</v>
      </c>
      <c r="S185" s="73"/>
      <c r="T185" s="73">
        <f t="shared" si="72"/>
        <v>0</v>
      </c>
      <c r="U185" s="61" t="str">
        <f t="shared" si="73"/>
        <v>ok</v>
      </c>
      <c r="V185" s="62" t="str">
        <f t="shared" si="74"/>
        <v/>
      </c>
    </row>
    <row r="186" spans="1:22" ht="12" customHeight="1" x14ac:dyDescent="0.2">
      <c r="A186" s="55" t="s">
        <v>189</v>
      </c>
      <c r="D186" s="55" t="s">
        <v>515</v>
      </c>
      <c r="F186" s="404">
        <f t="shared" ref="F186:R186" si="75">SUM(F180:F185)</f>
        <v>702569300.9430989</v>
      </c>
      <c r="G186" s="404">
        <f t="shared" si="75"/>
        <v>240441160.2297819</v>
      </c>
      <c r="H186" s="404">
        <f t="shared" si="75"/>
        <v>76128177.61080353</v>
      </c>
      <c r="I186" s="404">
        <f>SUM(I180:I185)</f>
        <v>6143957.7667951416</v>
      </c>
      <c r="J186" s="404">
        <f t="shared" si="75"/>
        <v>119227870.71920362</v>
      </c>
      <c r="K186" s="404">
        <f t="shared" si="75"/>
        <v>27271104.264392473</v>
      </c>
      <c r="L186" s="404">
        <f t="shared" si="75"/>
        <v>17765010.508930773</v>
      </c>
      <c r="M186" s="404">
        <f t="shared" si="75"/>
        <v>135975656.28052804</v>
      </c>
      <c r="N186" s="404">
        <f>SUM(N180:N185)</f>
        <v>56839896.641846269</v>
      </c>
      <c r="O186" s="404">
        <f t="shared" si="75"/>
        <v>18272382.81432765</v>
      </c>
      <c r="P186" s="404">
        <f t="shared" si="75"/>
        <v>4459748.3697058866</v>
      </c>
      <c r="Q186" s="404">
        <f t="shared" si="75"/>
        <v>1448.9558876558576</v>
      </c>
      <c r="R186" s="404">
        <f t="shared" si="75"/>
        <v>42886.780895965414</v>
      </c>
      <c r="S186" s="404"/>
      <c r="T186" s="62">
        <f t="shared" si="72"/>
        <v>702569300.94309902</v>
      </c>
      <c r="U186" s="61" t="str">
        <f t="shared" si="73"/>
        <v>ok</v>
      </c>
      <c r="V186" s="405" t="str">
        <f t="shared" si="74"/>
        <v/>
      </c>
    </row>
    <row r="187" spans="1:22" ht="12" customHeight="1" x14ac:dyDescent="0.2">
      <c r="F187" s="73"/>
      <c r="G187" s="406">
        <f>G186/$F$186</f>
        <v>0.34223123598913874</v>
      </c>
      <c r="H187" s="406">
        <f t="shared" ref="H187:O187" si="76">H186/$F$186</f>
        <v>0.10835682331780271</v>
      </c>
      <c r="I187" s="406">
        <f t="shared" si="76"/>
        <v>8.7449846706193334E-3</v>
      </c>
      <c r="J187" s="406">
        <f t="shared" si="76"/>
        <v>0.16970264792264228</v>
      </c>
      <c r="K187" s="406">
        <f t="shared" si="76"/>
        <v>3.8816248059493789E-2</v>
      </c>
      <c r="L187" s="406">
        <f t="shared" si="76"/>
        <v>2.5285776769756071E-2</v>
      </c>
      <c r="M187" s="406">
        <f t="shared" si="76"/>
        <v>0.19354056047994148</v>
      </c>
      <c r="N187" s="406">
        <f t="shared" si="76"/>
        <v>8.0902903906485565E-2</v>
      </c>
      <c r="O187" s="406">
        <f t="shared" si="76"/>
        <v>2.600794368583937E-2</v>
      </c>
    </row>
    <row r="188" spans="1:22" ht="12" customHeight="1" x14ac:dyDescent="0.2">
      <c r="A188" s="171" t="s">
        <v>554</v>
      </c>
      <c r="F188" s="73"/>
      <c r="G188" s="73"/>
    </row>
    <row r="189" spans="1:22" ht="12" customHeight="1" x14ac:dyDescent="0.2">
      <c r="A189" s="403" t="s">
        <v>159</v>
      </c>
      <c r="C189" s="55" t="s">
        <v>1037</v>
      </c>
      <c r="D189" s="55" t="s">
        <v>832</v>
      </c>
      <c r="E189" s="55" t="s">
        <v>2831</v>
      </c>
      <c r="F189" s="404">
        <f>VLOOKUP(C189,'Functional Assignment'!$C$1:$AU$773,13,)</f>
        <v>10220173.568469536</v>
      </c>
      <c r="G189" s="404">
        <f t="shared" ref="G189:R191" si="77">IF(VLOOKUP($E189,$D$5:$AH$1237,3,)=0,0,(VLOOKUP($E189,$D$5:$AH$1237,G$1,)/VLOOKUP($E189,$D$5:$AH$1237,3,))*$F189)</f>
        <v>3414735.7866631597</v>
      </c>
      <c r="H189" s="404">
        <f t="shared" si="77"/>
        <v>1077653.971011987</v>
      </c>
      <c r="I189" s="404">
        <f t="shared" si="77"/>
        <v>89748.311159631907</v>
      </c>
      <c r="J189" s="404">
        <f t="shared" si="77"/>
        <v>1754258.5924300868</v>
      </c>
      <c r="K189" s="404">
        <f t="shared" si="77"/>
        <v>374105.34440821916</v>
      </c>
      <c r="L189" s="404">
        <f t="shared" si="77"/>
        <v>283551.43257877871</v>
      </c>
      <c r="M189" s="404">
        <f t="shared" si="77"/>
        <v>2043568.88120759</v>
      </c>
      <c r="N189" s="404">
        <f t="shared" si="77"/>
        <v>838462.05910972541</v>
      </c>
      <c r="O189" s="404">
        <f t="shared" si="77"/>
        <v>272510.13296215114</v>
      </c>
      <c r="P189" s="404">
        <f t="shared" si="77"/>
        <v>70877.868650685195</v>
      </c>
      <c r="Q189" s="404">
        <f t="shared" si="77"/>
        <v>23.048217333611216</v>
      </c>
      <c r="R189" s="404">
        <f t="shared" si="77"/>
        <v>678.1400701867002</v>
      </c>
      <c r="S189" s="404"/>
      <c r="T189" s="62">
        <f>SUM(G189:R189)</f>
        <v>10220173.568469536</v>
      </c>
      <c r="U189" s="61" t="str">
        <f>IF(ABS(F189-T189)&lt;0.01,"ok","err")</f>
        <v>ok</v>
      </c>
      <c r="V189" s="62" t="str">
        <f>IF(U189="err",T189-F189,"")</f>
        <v/>
      </c>
    </row>
    <row r="190" spans="1:22" ht="12" customHeight="1" x14ac:dyDescent="0.2">
      <c r="A190" s="403" t="s">
        <v>161</v>
      </c>
      <c r="C190" s="55" t="s">
        <v>1037</v>
      </c>
      <c r="D190" s="55" t="s">
        <v>833</v>
      </c>
      <c r="E190" s="55" t="s">
        <v>59</v>
      </c>
      <c r="F190" s="73">
        <f>VLOOKUP(C190,'Functional Assignment'!$C$1:$AU$773,14,)</f>
        <v>9634330.2102623433</v>
      </c>
      <c r="G190" s="73">
        <f t="shared" si="77"/>
        <v>4399972.6713817818</v>
      </c>
      <c r="H190" s="73">
        <f t="shared" si="77"/>
        <v>1215119.2264276664</v>
      </c>
      <c r="I190" s="73">
        <f t="shared" si="77"/>
        <v>81921.455011930942</v>
      </c>
      <c r="J190" s="73">
        <f t="shared" si="77"/>
        <v>1220914.267698847</v>
      </c>
      <c r="K190" s="73">
        <f t="shared" si="77"/>
        <v>271110.05870303005</v>
      </c>
      <c r="L190" s="73">
        <f t="shared" si="77"/>
        <v>181579.12508376373</v>
      </c>
      <c r="M190" s="73">
        <f t="shared" si="77"/>
        <v>1455914.2721143935</v>
      </c>
      <c r="N190" s="73">
        <f t="shared" si="77"/>
        <v>648665.25379990181</v>
      </c>
      <c r="O190" s="73">
        <f t="shared" si="77"/>
        <v>158760.41137874688</v>
      </c>
      <c r="P190" s="73">
        <f t="shared" si="77"/>
        <v>0</v>
      </c>
      <c r="Q190" s="73">
        <f t="shared" si="77"/>
        <v>0</v>
      </c>
      <c r="R190" s="73">
        <f t="shared" si="77"/>
        <v>373.46866228301275</v>
      </c>
      <c r="S190" s="73"/>
      <c r="T190" s="73">
        <f>SUM(G190:R190)</f>
        <v>9634330.2102623452</v>
      </c>
      <c r="U190" s="61" t="str">
        <f>IF(ABS(F190-T190)&lt;0.01,"ok","err")</f>
        <v>ok</v>
      </c>
      <c r="V190" s="62" t="str">
        <f>IF(U190="err",T190-F190,"")</f>
        <v/>
      </c>
    </row>
    <row r="191" spans="1:22" ht="12" customHeight="1" x14ac:dyDescent="0.2">
      <c r="A191" s="403" t="s">
        <v>160</v>
      </c>
      <c r="C191" s="55" t="s">
        <v>1037</v>
      </c>
      <c r="D191" s="55" t="s">
        <v>834</v>
      </c>
      <c r="E191" s="55" t="s">
        <v>62</v>
      </c>
      <c r="F191" s="73">
        <f>VLOOKUP(C191,'Functional Assignment'!$C$1:$AU$773,15,)</f>
        <v>9894523.6355637666</v>
      </c>
      <c r="G191" s="73">
        <f t="shared" si="77"/>
        <v>3939166.8904515654</v>
      </c>
      <c r="H191" s="73">
        <f t="shared" si="77"/>
        <v>1195597.3289162805</v>
      </c>
      <c r="I191" s="73">
        <f t="shared" si="77"/>
        <v>68275.234392533472</v>
      </c>
      <c r="J191" s="73">
        <f t="shared" si="77"/>
        <v>1550855.4984984591</v>
      </c>
      <c r="K191" s="73">
        <f t="shared" si="77"/>
        <v>392678.90313704452</v>
      </c>
      <c r="L191" s="73">
        <f t="shared" si="77"/>
        <v>242666.38785711883</v>
      </c>
      <c r="M191" s="73">
        <f t="shared" si="77"/>
        <v>1614291.2793017991</v>
      </c>
      <c r="N191" s="73">
        <f t="shared" si="77"/>
        <v>679932.08039166266</v>
      </c>
      <c r="O191" s="73">
        <f t="shared" si="77"/>
        <v>210684.89183243064</v>
      </c>
      <c r="P191" s="73">
        <f t="shared" si="77"/>
        <v>0</v>
      </c>
      <c r="Q191" s="73">
        <f t="shared" si="77"/>
        <v>0</v>
      </c>
      <c r="R191" s="73">
        <f t="shared" si="77"/>
        <v>375.14078487472483</v>
      </c>
      <c r="S191" s="73"/>
      <c r="T191" s="73">
        <f>SUM(G191:R191)</f>
        <v>9894523.6355637684</v>
      </c>
      <c r="U191" s="61" t="str">
        <f>IF(ABS(F191-T191)&lt;0.01,"ok","err")</f>
        <v>ok</v>
      </c>
      <c r="V191" s="62" t="str">
        <f>IF(U191="err",T191-F191,"")</f>
        <v/>
      </c>
    </row>
    <row r="192" spans="1:22" ht="12" customHeight="1" x14ac:dyDescent="0.2">
      <c r="A192" s="55" t="s">
        <v>556</v>
      </c>
      <c r="D192" s="55" t="s">
        <v>835</v>
      </c>
      <c r="F192" s="404">
        <f t="shared" ref="F192:R192" si="78">SUM(F189:F191)</f>
        <v>29749027.414295644</v>
      </c>
      <c r="G192" s="404">
        <f t="shared" si="78"/>
        <v>11753875.348496508</v>
      </c>
      <c r="H192" s="404">
        <f t="shared" si="78"/>
        <v>3488370.5263559339</v>
      </c>
      <c r="I192" s="404">
        <f>SUM(I189:I191)</f>
        <v>239945.00056409632</v>
      </c>
      <c r="J192" s="404">
        <f t="shared" si="78"/>
        <v>4526028.3586273929</v>
      </c>
      <c r="K192" s="404">
        <f t="shared" si="78"/>
        <v>1037894.3062482937</v>
      </c>
      <c r="L192" s="404">
        <f t="shared" si="78"/>
        <v>707796.9455196613</v>
      </c>
      <c r="M192" s="404">
        <f t="shared" si="78"/>
        <v>5113774.4326237822</v>
      </c>
      <c r="N192" s="404">
        <f>SUM(N189:N191)</f>
        <v>2167059.39330129</v>
      </c>
      <c r="O192" s="404">
        <f t="shared" si="78"/>
        <v>641955.43617332866</v>
      </c>
      <c r="P192" s="404">
        <f t="shared" si="78"/>
        <v>70877.868650685195</v>
      </c>
      <c r="Q192" s="404">
        <f t="shared" si="78"/>
        <v>23.048217333611216</v>
      </c>
      <c r="R192" s="404">
        <f t="shared" si="78"/>
        <v>1426.7495173444379</v>
      </c>
      <c r="S192" s="404"/>
      <c r="T192" s="62">
        <f>SUM(G192:R192)</f>
        <v>29749027.414295644</v>
      </c>
      <c r="U192" s="61" t="str">
        <f>IF(ABS(F192-T192)&lt;0.01,"ok","err")</f>
        <v>ok</v>
      </c>
      <c r="V192" s="62" t="str">
        <f>IF(U192="err",T192-F192,"")</f>
        <v/>
      </c>
    </row>
    <row r="193" spans="1:22" ht="12" customHeight="1" x14ac:dyDescent="0.2">
      <c r="F193" s="73"/>
      <c r="G193" s="73"/>
    </row>
    <row r="194" spans="1:22" ht="12" customHeight="1" x14ac:dyDescent="0.2">
      <c r="A194" s="171" t="s">
        <v>2087</v>
      </c>
      <c r="F194" s="73"/>
      <c r="G194" s="73"/>
    </row>
    <row r="195" spans="1:22" ht="12" customHeight="1" x14ac:dyDescent="0.2">
      <c r="A195" s="403" t="s">
        <v>174</v>
      </c>
      <c r="C195" s="55" t="s">
        <v>1037</v>
      </c>
      <c r="D195" s="55" t="s">
        <v>836</v>
      </c>
      <c r="E195" s="55" t="s">
        <v>2730</v>
      </c>
      <c r="F195" s="404">
        <f>VLOOKUP(C195,'Functional Assignment'!$C$1:$AU$773,17,)</f>
        <v>0</v>
      </c>
      <c r="G195" s="404">
        <f t="shared" ref="G195:R195" si="79">IF(VLOOKUP($E195,$D$5:$AH$1237,3,)=0,0,(VLOOKUP($E195,$D$5:$AH$1237,G$1,)/VLOOKUP($E195,$D$5:$AH$1237,3,))*$F195)</f>
        <v>0</v>
      </c>
      <c r="H195" s="404">
        <f t="shared" si="79"/>
        <v>0</v>
      </c>
      <c r="I195" s="404">
        <f t="shared" si="79"/>
        <v>0</v>
      </c>
      <c r="J195" s="404">
        <f t="shared" si="79"/>
        <v>0</v>
      </c>
      <c r="K195" s="404">
        <f t="shared" si="79"/>
        <v>0</v>
      </c>
      <c r="L195" s="404">
        <f t="shared" si="79"/>
        <v>0</v>
      </c>
      <c r="M195" s="404">
        <f t="shared" si="79"/>
        <v>0</v>
      </c>
      <c r="N195" s="404">
        <f t="shared" si="79"/>
        <v>0</v>
      </c>
      <c r="O195" s="404">
        <f t="shared" si="79"/>
        <v>0</v>
      </c>
      <c r="P195" s="404">
        <f t="shared" si="79"/>
        <v>0</v>
      </c>
      <c r="Q195" s="404">
        <f t="shared" si="79"/>
        <v>0</v>
      </c>
      <c r="R195" s="404">
        <f t="shared" si="79"/>
        <v>0</v>
      </c>
      <c r="S195" s="404"/>
      <c r="T195" s="62">
        <f>SUM(G195:R195)</f>
        <v>0</v>
      </c>
      <c r="U195" s="61" t="str">
        <f>IF(ABS(F195-T195)&lt;0.01,"ok","err")</f>
        <v>ok</v>
      </c>
      <c r="V195" s="62" t="str">
        <f>IF(U195="err",T195-F195,"")</f>
        <v/>
      </c>
    </row>
    <row r="196" spans="1:22" ht="12" customHeight="1" x14ac:dyDescent="0.2">
      <c r="F196" s="73"/>
    </row>
    <row r="197" spans="1:22" ht="12" customHeight="1" x14ac:dyDescent="0.2">
      <c r="A197" s="171" t="s">
        <v>2088</v>
      </c>
      <c r="F197" s="73"/>
      <c r="G197" s="73"/>
    </row>
    <row r="198" spans="1:22" ht="12" customHeight="1" x14ac:dyDescent="0.2">
      <c r="A198" s="403" t="s">
        <v>176</v>
      </c>
      <c r="C198" s="55" t="s">
        <v>1037</v>
      </c>
      <c r="D198" s="55" t="s">
        <v>837</v>
      </c>
      <c r="E198" s="55" t="s">
        <v>2729</v>
      </c>
      <c r="F198" s="404">
        <f>VLOOKUP(C198,'Functional Assignment'!$C$1:$AU$773,18,)</f>
        <v>6038921.8043329045</v>
      </c>
      <c r="G198" s="404">
        <f t="shared" ref="G198:R198" si="80">IF(VLOOKUP($E198,$D$5:$AH$1237,3,)=0,0,(VLOOKUP($E198,$D$5:$AH$1237,G$1,)/VLOOKUP($E198,$D$5:$AH$1237,3,))*$F198)</f>
        <v>2731662.0862490446</v>
      </c>
      <c r="H198" s="404">
        <f t="shared" si="80"/>
        <v>837476.32176830247</v>
      </c>
      <c r="I198" s="404">
        <f t="shared" si="80"/>
        <v>78867.091876246559</v>
      </c>
      <c r="J198" s="404">
        <f t="shared" si="80"/>
        <v>924783.88095805713</v>
      </c>
      <c r="K198" s="404">
        <f t="shared" si="80"/>
        <v>230629.50822700647</v>
      </c>
      <c r="L198" s="404">
        <f t="shared" si="80"/>
        <v>136788.28359581975</v>
      </c>
      <c r="M198" s="404">
        <f t="shared" si="80"/>
        <v>1051935.3466146197</v>
      </c>
      <c r="N198" s="404">
        <f t="shared" si="80"/>
        <v>0</v>
      </c>
      <c r="O198" s="404">
        <f t="shared" si="80"/>
        <v>0</v>
      </c>
      <c r="P198" s="404">
        <f t="shared" si="80"/>
        <v>46533.485341093379</v>
      </c>
      <c r="Q198" s="404">
        <f t="shared" si="80"/>
        <v>15.133816073191236</v>
      </c>
      <c r="R198" s="404">
        <f t="shared" si="80"/>
        <v>230.66588664095082</v>
      </c>
      <c r="S198" s="404"/>
      <c r="T198" s="62">
        <f>SUM(G198:R198)</f>
        <v>6038921.8043329045</v>
      </c>
      <c r="U198" s="61" t="str">
        <f>IF(ABS(F198-T198)&lt;0.01,"ok","err")</f>
        <v>ok</v>
      </c>
      <c r="V198" s="62" t="str">
        <f>IF(U198="err",T198-F198,"")</f>
        <v/>
      </c>
    </row>
    <row r="199" spans="1:22" ht="12" customHeight="1" x14ac:dyDescent="0.2">
      <c r="F199" s="73"/>
    </row>
    <row r="200" spans="1:22" ht="12" customHeight="1" x14ac:dyDescent="0.2">
      <c r="A200" s="171" t="s">
        <v>175</v>
      </c>
      <c r="F200" s="73"/>
    </row>
    <row r="201" spans="1:22" ht="12" customHeight="1" x14ac:dyDescent="0.2">
      <c r="A201" s="403" t="s">
        <v>1010</v>
      </c>
      <c r="C201" s="55" t="s">
        <v>1037</v>
      </c>
      <c r="D201" s="55" t="s">
        <v>838</v>
      </c>
      <c r="E201" s="55" t="s">
        <v>2730</v>
      </c>
      <c r="F201" s="404">
        <f>VLOOKUP(C201,'Functional Assignment'!$C$1:$AU$773,19,)</f>
        <v>0</v>
      </c>
      <c r="G201" s="404">
        <f t="shared" ref="G201:R205" si="81">IF(VLOOKUP($E201,$D$5:$AH$1237,3,)=0,0,(VLOOKUP($E201,$D$5:$AH$1237,G$1,)/VLOOKUP($E201,$D$5:$AH$1237,3,))*$F201)</f>
        <v>0</v>
      </c>
      <c r="H201" s="404">
        <f t="shared" si="81"/>
        <v>0</v>
      </c>
      <c r="I201" s="404">
        <f t="shared" si="81"/>
        <v>0</v>
      </c>
      <c r="J201" s="404">
        <f t="shared" si="81"/>
        <v>0</v>
      </c>
      <c r="K201" s="404">
        <f t="shared" si="81"/>
        <v>0</v>
      </c>
      <c r="L201" s="404">
        <f t="shared" si="81"/>
        <v>0</v>
      </c>
      <c r="M201" s="404">
        <f t="shared" si="81"/>
        <v>0</v>
      </c>
      <c r="N201" s="404">
        <f t="shared" si="81"/>
        <v>0</v>
      </c>
      <c r="O201" s="404">
        <f t="shared" si="81"/>
        <v>0</v>
      </c>
      <c r="P201" s="404">
        <f t="shared" si="81"/>
        <v>0</v>
      </c>
      <c r="Q201" s="404">
        <f t="shared" si="81"/>
        <v>0</v>
      </c>
      <c r="R201" s="404">
        <f t="shared" si="81"/>
        <v>0</v>
      </c>
      <c r="S201" s="404"/>
      <c r="T201" s="62">
        <f t="shared" ref="T201:T206" si="82">SUM(G201:R201)</f>
        <v>0</v>
      </c>
      <c r="U201" s="61" t="str">
        <f t="shared" ref="U201:U206" si="83">IF(ABS(F201-T201)&lt;0.01,"ok","err")</f>
        <v>ok</v>
      </c>
      <c r="V201" s="62" t="str">
        <f t="shared" ref="V201:V206" si="84">IF(U201="err",T201-F201,"")</f>
        <v/>
      </c>
    </row>
    <row r="202" spans="1:22" ht="12" customHeight="1" x14ac:dyDescent="0.2">
      <c r="A202" s="403" t="s">
        <v>1011</v>
      </c>
      <c r="C202" s="55" t="s">
        <v>1037</v>
      </c>
      <c r="D202" s="55" t="s">
        <v>839</v>
      </c>
      <c r="E202" s="55" t="s">
        <v>2730</v>
      </c>
      <c r="F202" s="73">
        <f>VLOOKUP(C202,'Functional Assignment'!$C$1:$AU$773,20,)</f>
        <v>17977958.306229465</v>
      </c>
      <c r="G202" s="73">
        <f t="shared" si="81"/>
        <v>8132197.8797700424</v>
      </c>
      <c r="H202" s="73">
        <f t="shared" si="81"/>
        <v>2493179.2268616967</v>
      </c>
      <c r="I202" s="73">
        <f t="shared" si="81"/>
        <v>234788.4830148675</v>
      </c>
      <c r="J202" s="73">
        <f t="shared" si="81"/>
        <v>2753095.1041969322</v>
      </c>
      <c r="K202" s="73">
        <f t="shared" si="81"/>
        <v>686587.41037454898</v>
      </c>
      <c r="L202" s="73">
        <f t="shared" si="81"/>
        <v>407220.71570820652</v>
      </c>
      <c r="M202" s="73">
        <f t="shared" si="81"/>
        <v>3131626.8723197626</v>
      </c>
      <c r="N202" s="73">
        <f t="shared" si="81"/>
        <v>0</v>
      </c>
      <c r="O202" s="73">
        <f t="shared" si="81"/>
        <v>0</v>
      </c>
      <c r="P202" s="73">
        <f t="shared" si="81"/>
        <v>138530.86468274449</v>
      </c>
      <c r="Q202" s="73">
        <f t="shared" si="81"/>
        <v>45.053591219340589</v>
      </c>
      <c r="R202" s="73">
        <f t="shared" si="81"/>
        <v>686.69570944354314</v>
      </c>
      <c r="S202" s="73"/>
      <c r="T202" s="73">
        <f t="shared" si="82"/>
        <v>17977958.306229465</v>
      </c>
      <c r="U202" s="61" t="str">
        <f t="shared" si="83"/>
        <v>ok</v>
      </c>
      <c r="V202" s="62" t="str">
        <f t="shared" si="84"/>
        <v/>
      </c>
    </row>
    <row r="203" spans="1:22" ht="12" customHeight="1" x14ac:dyDescent="0.2">
      <c r="A203" s="403" t="s">
        <v>1012</v>
      </c>
      <c r="C203" s="55" t="s">
        <v>1037</v>
      </c>
      <c r="D203" s="55" t="s">
        <v>840</v>
      </c>
      <c r="E203" s="55" t="s">
        <v>1180</v>
      </c>
      <c r="F203" s="73">
        <f>VLOOKUP(C203,'Functional Assignment'!$C$1:$AU$773,21,)</f>
        <v>23002819.935220938</v>
      </c>
      <c r="G203" s="73">
        <f t="shared" si="81"/>
        <v>18304241.918771036</v>
      </c>
      <c r="H203" s="73">
        <f t="shared" si="81"/>
        <v>3575168.3605368398</v>
      </c>
      <c r="I203" s="73">
        <f t="shared" si="81"/>
        <v>27869.086633012321</v>
      </c>
      <c r="J203" s="73">
        <f t="shared" si="81"/>
        <v>245291.50781837245</v>
      </c>
      <c r="K203" s="73">
        <f t="shared" si="81"/>
        <v>12932.99801563228</v>
      </c>
      <c r="L203" s="73">
        <f t="shared" si="81"/>
        <v>5965.7263573791997</v>
      </c>
      <c r="M203" s="73">
        <f t="shared" si="81"/>
        <v>7228.5443454375709</v>
      </c>
      <c r="N203" s="73">
        <f t="shared" si="81"/>
        <v>0</v>
      </c>
      <c r="O203" s="73">
        <f t="shared" si="81"/>
        <v>0</v>
      </c>
      <c r="P203" s="73">
        <f t="shared" si="81"/>
        <v>820807.50032246101</v>
      </c>
      <c r="Q203" s="73">
        <f t="shared" si="81"/>
        <v>53.222214056099915</v>
      </c>
      <c r="R203" s="73">
        <f t="shared" si="81"/>
        <v>3261.070206710122</v>
      </c>
      <c r="S203" s="73"/>
      <c r="T203" s="73">
        <f t="shared" si="82"/>
        <v>23002819.935220931</v>
      </c>
      <c r="U203" s="61" t="str">
        <f t="shared" si="83"/>
        <v>ok</v>
      </c>
      <c r="V203" s="62" t="str">
        <f t="shared" si="84"/>
        <v/>
      </c>
    </row>
    <row r="204" spans="1:22" ht="12" customHeight="1" x14ac:dyDescent="0.2">
      <c r="A204" s="403" t="s">
        <v>1013</v>
      </c>
      <c r="C204" s="55" t="s">
        <v>1037</v>
      </c>
      <c r="D204" s="55" t="s">
        <v>841</v>
      </c>
      <c r="E204" s="55" t="s">
        <v>909</v>
      </c>
      <c r="F204" s="73">
        <f>VLOOKUP(C204,'Functional Assignment'!$C$1:$AU$773,22,)</f>
        <v>3172580.8775699055</v>
      </c>
      <c r="G204" s="73">
        <f t="shared" si="81"/>
        <v>2173002.8009722889</v>
      </c>
      <c r="H204" s="73">
        <f t="shared" si="81"/>
        <v>504958.49563165981</v>
      </c>
      <c r="I204" s="73">
        <f t="shared" si="81"/>
        <v>29648.673868022634</v>
      </c>
      <c r="J204" s="73">
        <f t="shared" si="81"/>
        <v>389871.4317900312</v>
      </c>
      <c r="K204" s="73">
        <f t="shared" si="81"/>
        <v>0</v>
      </c>
      <c r="L204" s="73">
        <f t="shared" si="81"/>
        <v>58935.73316706936</v>
      </c>
      <c r="M204" s="73">
        <f t="shared" si="81"/>
        <v>0</v>
      </c>
      <c r="N204" s="73">
        <f t="shared" si="81"/>
        <v>0</v>
      </c>
      <c r="O204" s="73">
        <f t="shared" si="81"/>
        <v>0</v>
      </c>
      <c r="P204" s="73">
        <f t="shared" si="81"/>
        <v>16071.036324283908</v>
      </c>
      <c r="Q204" s="73">
        <f t="shared" si="81"/>
        <v>5.2266901147528202</v>
      </c>
      <c r="R204" s="73">
        <f t="shared" si="81"/>
        <v>87.479126435054638</v>
      </c>
      <c r="S204" s="73"/>
      <c r="T204" s="73">
        <f t="shared" si="82"/>
        <v>3172580.8775699064</v>
      </c>
      <c r="U204" s="61" t="str">
        <f t="shared" si="83"/>
        <v>ok</v>
      </c>
      <c r="V204" s="62" t="str">
        <f t="shared" si="84"/>
        <v/>
      </c>
    </row>
    <row r="205" spans="1:22" ht="12" customHeight="1" x14ac:dyDescent="0.2">
      <c r="A205" s="403" t="s">
        <v>1014</v>
      </c>
      <c r="C205" s="55" t="s">
        <v>1037</v>
      </c>
      <c r="D205" s="55" t="s">
        <v>842</v>
      </c>
      <c r="E205" s="55" t="s">
        <v>1179</v>
      </c>
      <c r="F205" s="73">
        <f>VLOOKUP(C205,'Functional Assignment'!$C$1:$AU$773,23,)</f>
        <v>4059321.1650389899</v>
      </c>
      <c r="G205" s="73">
        <f t="shared" si="81"/>
        <v>3232993.9975066222</v>
      </c>
      <c r="H205" s="73">
        <f t="shared" si="81"/>
        <v>631465.53137707023</v>
      </c>
      <c r="I205" s="73">
        <f t="shared" si="81"/>
        <v>4922.3884933536929</v>
      </c>
      <c r="J205" s="73">
        <f t="shared" si="81"/>
        <v>43324.709973533369</v>
      </c>
      <c r="K205" s="73">
        <f t="shared" si="81"/>
        <v>0</v>
      </c>
      <c r="L205" s="73">
        <f t="shared" si="81"/>
        <v>1053.698786858525</v>
      </c>
      <c r="M205" s="73">
        <f t="shared" si="81"/>
        <v>0</v>
      </c>
      <c r="N205" s="73">
        <f t="shared" si="81"/>
        <v>0</v>
      </c>
      <c r="O205" s="73">
        <f t="shared" si="81"/>
        <v>0</v>
      </c>
      <c r="P205" s="73">
        <f t="shared" si="81"/>
        <v>144975.45068662975</v>
      </c>
      <c r="Q205" s="73">
        <f t="shared" si="81"/>
        <v>9.4003946921685131</v>
      </c>
      <c r="R205" s="73">
        <f t="shared" si="81"/>
        <v>575.98782022923422</v>
      </c>
      <c r="S205" s="73"/>
      <c r="T205" s="73">
        <f t="shared" si="82"/>
        <v>4059321.1650389885</v>
      </c>
      <c r="U205" s="61" t="str">
        <f t="shared" si="83"/>
        <v>ok</v>
      </c>
      <c r="V205" s="62" t="str">
        <f t="shared" si="84"/>
        <v/>
      </c>
    </row>
    <row r="206" spans="1:22" ht="12" customHeight="1" x14ac:dyDescent="0.2">
      <c r="A206" s="55" t="s">
        <v>180</v>
      </c>
      <c r="D206" s="55" t="s">
        <v>843</v>
      </c>
      <c r="F206" s="404">
        <f>SUM(F201:F205)</f>
        <v>48212680.284059294</v>
      </c>
      <c r="G206" s="404">
        <f t="shared" ref="G206:R206" si="85">SUM(G201:G205)</f>
        <v>31842436.597019989</v>
      </c>
      <c r="H206" s="404">
        <f t="shared" si="85"/>
        <v>7204771.6144072665</v>
      </c>
      <c r="I206" s="404">
        <f>SUM(I201:I205)</f>
        <v>297228.63200925611</v>
      </c>
      <c r="J206" s="404">
        <f t="shared" si="85"/>
        <v>3431582.7537788688</v>
      </c>
      <c r="K206" s="404">
        <f t="shared" si="85"/>
        <v>699520.40839018126</v>
      </c>
      <c r="L206" s="404">
        <f t="shared" si="85"/>
        <v>473175.87401951361</v>
      </c>
      <c r="M206" s="404">
        <f t="shared" si="85"/>
        <v>3138855.4166652001</v>
      </c>
      <c r="N206" s="404">
        <f>SUM(N201:N205)</f>
        <v>0</v>
      </c>
      <c r="O206" s="404">
        <f t="shared" si="85"/>
        <v>0</v>
      </c>
      <c r="P206" s="404">
        <f t="shared" si="85"/>
        <v>1120384.8520161193</v>
      </c>
      <c r="Q206" s="404">
        <f t="shared" si="85"/>
        <v>112.90289008236185</v>
      </c>
      <c r="R206" s="404">
        <f t="shared" si="85"/>
        <v>4611.2328628179539</v>
      </c>
      <c r="S206" s="404"/>
      <c r="T206" s="62">
        <f t="shared" si="82"/>
        <v>48212680.284059279</v>
      </c>
      <c r="U206" s="61" t="str">
        <f t="shared" si="83"/>
        <v>ok</v>
      </c>
      <c r="V206" s="62" t="str">
        <f t="shared" si="84"/>
        <v/>
      </c>
    </row>
    <row r="207" spans="1:22" ht="12" customHeight="1" x14ac:dyDescent="0.2">
      <c r="F207" s="73"/>
    </row>
    <row r="208" spans="1:22" ht="12" customHeight="1" x14ac:dyDescent="0.2">
      <c r="A208" s="171" t="s">
        <v>1009</v>
      </c>
      <c r="F208" s="73"/>
    </row>
    <row r="209" spans="1:22" ht="12" customHeight="1" x14ac:dyDescent="0.2">
      <c r="A209" s="403" t="s">
        <v>501</v>
      </c>
      <c r="C209" s="55" t="s">
        <v>1037</v>
      </c>
      <c r="D209" s="55" t="s">
        <v>844</v>
      </c>
      <c r="E209" s="55" t="s">
        <v>909</v>
      </c>
      <c r="F209" s="404">
        <f>VLOOKUP(C209,'Functional Assignment'!$C$1:$AU$773,24,)</f>
        <v>3117101.552641545</v>
      </c>
      <c r="G209" s="404">
        <f t="shared" ref="G209:R210" si="86">IF(VLOOKUP($E209,$D$5:$AH$1237,3,)=0,0,(VLOOKUP($E209,$D$5:$AH$1237,G$1,)/VLOOKUP($E209,$D$5:$AH$1237,3,))*$F209)</f>
        <v>2135003.2248802455</v>
      </c>
      <c r="H209" s="404">
        <f t="shared" si="86"/>
        <v>496128.22225626727</v>
      </c>
      <c r="I209" s="404">
        <f t="shared" si="86"/>
        <v>29130.203740799603</v>
      </c>
      <c r="J209" s="404">
        <f t="shared" si="86"/>
        <v>383053.7005235136</v>
      </c>
      <c r="K209" s="404">
        <f t="shared" si="86"/>
        <v>0</v>
      </c>
      <c r="L209" s="404">
        <f t="shared" si="86"/>
        <v>57905.116512539345</v>
      </c>
      <c r="M209" s="404">
        <f t="shared" si="86"/>
        <v>0</v>
      </c>
      <c r="N209" s="404">
        <f t="shared" si="86"/>
        <v>0</v>
      </c>
      <c r="O209" s="404">
        <f t="shared" si="86"/>
        <v>0</v>
      </c>
      <c r="P209" s="404">
        <f t="shared" si="86"/>
        <v>15790.000070023505</v>
      </c>
      <c r="Q209" s="404">
        <f t="shared" si="86"/>
        <v>5.1352903205895482</v>
      </c>
      <c r="R209" s="404">
        <f t="shared" si="86"/>
        <v>85.949367835596334</v>
      </c>
      <c r="S209" s="404"/>
      <c r="T209" s="62">
        <f>SUM(G209:R209)</f>
        <v>3117101.552641545</v>
      </c>
      <c r="U209" s="61" t="str">
        <f>IF(ABS(F209-T209)&lt;0.01,"ok","err")</f>
        <v>ok</v>
      </c>
      <c r="V209" s="62" t="str">
        <f>IF(U209="err",T209-F209,"")</f>
        <v/>
      </c>
    </row>
    <row r="210" spans="1:22" ht="12" customHeight="1" x14ac:dyDescent="0.2">
      <c r="A210" s="403" t="s">
        <v>504</v>
      </c>
      <c r="C210" s="55" t="s">
        <v>1037</v>
      </c>
      <c r="D210" s="55" t="s">
        <v>845</v>
      </c>
      <c r="E210" s="55" t="s">
        <v>1179</v>
      </c>
      <c r="F210" s="73">
        <f>VLOOKUP(C210,'Functional Assignment'!$C$1:$AU$773,25,)</f>
        <v>2667091.3451902317</v>
      </c>
      <c r="G210" s="73">
        <f t="shared" si="86"/>
        <v>2124170.5101003163</v>
      </c>
      <c r="H210" s="73">
        <f t="shared" si="86"/>
        <v>414891.10741636972</v>
      </c>
      <c r="I210" s="73">
        <f t="shared" si="86"/>
        <v>3234.1515279344794</v>
      </c>
      <c r="J210" s="73">
        <f t="shared" si="86"/>
        <v>28465.586807585816</v>
      </c>
      <c r="K210" s="73">
        <f t="shared" si="86"/>
        <v>0</v>
      </c>
      <c r="L210" s="73">
        <f t="shared" si="86"/>
        <v>692.31056144847446</v>
      </c>
      <c r="M210" s="73">
        <f t="shared" si="86"/>
        <v>0</v>
      </c>
      <c r="N210" s="73">
        <f t="shared" si="86"/>
        <v>0</v>
      </c>
      <c r="O210" s="73">
        <f t="shared" si="86"/>
        <v>0</v>
      </c>
      <c r="P210" s="73">
        <f t="shared" si="86"/>
        <v>95253.061797993883</v>
      </c>
      <c r="Q210" s="73">
        <f t="shared" si="86"/>
        <v>6.1763310429304301</v>
      </c>
      <c r="R210" s="73">
        <f t="shared" si="86"/>
        <v>378.44064753955536</v>
      </c>
      <c r="S210" s="73"/>
      <c r="T210" s="73">
        <f>SUM(G210:R210)</f>
        <v>2667091.3451902312</v>
      </c>
      <c r="U210" s="61" t="str">
        <f>IF(ABS(F210-T210)&lt;0.01,"ok","err")</f>
        <v>ok</v>
      </c>
      <c r="V210" s="62" t="str">
        <f>IF(U210="err",T210-F210,"")</f>
        <v/>
      </c>
    </row>
    <row r="211" spans="1:22" ht="12" customHeight="1" x14ac:dyDescent="0.2">
      <c r="A211" s="55" t="s">
        <v>1890</v>
      </c>
      <c r="D211" s="55" t="s">
        <v>846</v>
      </c>
      <c r="F211" s="404">
        <f t="shared" ref="F211:R211" si="87">F209+F210</f>
        <v>5784192.8978317771</v>
      </c>
      <c r="G211" s="404">
        <f t="shared" si="87"/>
        <v>4259173.7349805618</v>
      </c>
      <c r="H211" s="404">
        <f t="shared" si="87"/>
        <v>911019.32967263693</v>
      </c>
      <c r="I211" s="404">
        <f>I209+I210</f>
        <v>32364.355268734082</v>
      </c>
      <c r="J211" s="404">
        <f t="shared" si="87"/>
        <v>411519.28733109939</v>
      </c>
      <c r="K211" s="404">
        <f t="shared" si="87"/>
        <v>0</v>
      </c>
      <c r="L211" s="404">
        <f t="shared" si="87"/>
        <v>58597.427073987819</v>
      </c>
      <c r="M211" s="404">
        <f t="shared" si="87"/>
        <v>0</v>
      </c>
      <c r="N211" s="404">
        <f>N209+N210</f>
        <v>0</v>
      </c>
      <c r="O211" s="404">
        <f t="shared" si="87"/>
        <v>0</v>
      </c>
      <c r="P211" s="404">
        <f t="shared" si="87"/>
        <v>111043.06186801739</v>
      </c>
      <c r="Q211" s="404">
        <f t="shared" si="87"/>
        <v>11.311621363519979</v>
      </c>
      <c r="R211" s="404">
        <f t="shared" si="87"/>
        <v>464.39001537515168</v>
      </c>
      <c r="S211" s="404"/>
      <c r="T211" s="62">
        <f>SUM(G211:R211)</f>
        <v>5784192.8978317771</v>
      </c>
      <c r="U211" s="61" t="str">
        <f>IF(ABS(F211-T211)&lt;0.01,"ok","err")</f>
        <v>ok</v>
      </c>
      <c r="V211" s="62" t="str">
        <f>IF(U211="err",T211-F211,"")</f>
        <v/>
      </c>
    </row>
    <row r="212" spans="1:22" ht="12" customHeight="1" x14ac:dyDescent="0.2">
      <c r="F212" s="73"/>
    </row>
    <row r="213" spans="1:22" ht="12" customHeight="1" x14ac:dyDescent="0.2">
      <c r="A213" s="171" t="s">
        <v>148</v>
      </c>
      <c r="F213" s="73"/>
    </row>
    <row r="214" spans="1:22" ht="12" customHeight="1" x14ac:dyDescent="0.2">
      <c r="A214" s="403" t="s">
        <v>504</v>
      </c>
      <c r="C214" s="55" t="s">
        <v>1037</v>
      </c>
      <c r="D214" s="55" t="s">
        <v>847</v>
      </c>
      <c r="E214" s="55" t="s">
        <v>505</v>
      </c>
      <c r="F214" s="404">
        <f>VLOOKUP(C214,'Functional Assignment'!$C$1:$AU$773,26,)</f>
        <v>1729699.6727040512</v>
      </c>
      <c r="G214" s="404">
        <f t="shared" ref="G214:R214" si="88">IF(VLOOKUP($E214,$D$5:$AH$1237,3,)=0,0,(VLOOKUP($E214,$D$5:$AH$1237,G$1,)/VLOOKUP($E214,$D$5:$AH$1237,3,))*$F214)</f>
        <v>1018758.7443816146</v>
      </c>
      <c r="H214" s="404">
        <f t="shared" si="88"/>
        <v>668601.41720624641</v>
      </c>
      <c r="I214" s="404">
        <f t="shared" si="88"/>
        <v>3191.3287521501129</v>
      </c>
      <c r="J214" s="404">
        <f t="shared" si="88"/>
        <v>36694.686684955574</v>
      </c>
      <c r="K214" s="404">
        <f t="shared" si="88"/>
        <v>0</v>
      </c>
      <c r="L214" s="404">
        <f t="shared" si="88"/>
        <v>679.95651484380323</v>
      </c>
      <c r="M214" s="404">
        <f t="shared" si="88"/>
        <v>0</v>
      </c>
      <c r="N214" s="404">
        <f t="shared" si="88"/>
        <v>0</v>
      </c>
      <c r="O214" s="404">
        <f t="shared" si="88"/>
        <v>0</v>
      </c>
      <c r="P214" s="404">
        <f t="shared" si="88"/>
        <v>0</v>
      </c>
      <c r="Q214" s="404">
        <f t="shared" si="88"/>
        <v>26.688003839461963</v>
      </c>
      <c r="R214" s="404">
        <f t="shared" si="88"/>
        <v>1746.8511604011471</v>
      </c>
      <c r="S214" s="404"/>
      <c r="T214" s="62">
        <f>SUM(G214:R214)</f>
        <v>1729699.672704051</v>
      </c>
      <c r="U214" s="61" t="str">
        <f>IF(ABS(F214-T214)&lt;0.01,"ok","err")</f>
        <v>ok</v>
      </c>
      <c r="V214" s="62" t="str">
        <f>IF(U214="err",T214-F214,"")</f>
        <v/>
      </c>
    </row>
    <row r="215" spans="1:22" ht="12" customHeight="1" x14ac:dyDescent="0.2">
      <c r="F215" s="73"/>
    </row>
    <row r="216" spans="1:22" ht="12" customHeight="1" x14ac:dyDescent="0.2">
      <c r="A216" s="171" t="s">
        <v>147</v>
      </c>
      <c r="F216" s="73"/>
    </row>
    <row r="217" spans="1:22" ht="12" customHeight="1" x14ac:dyDescent="0.2">
      <c r="A217" s="403" t="s">
        <v>504</v>
      </c>
      <c r="C217" s="55" t="s">
        <v>1037</v>
      </c>
      <c r="D217" s="55" t="s">
        <v>848</v>
      </c>
      <c r="E217" s="55" t="s">
        <v>506</v>
      </c>
      <c r="F217" s="404">
        <f>VLOOKUP(C217,'Functional Assignment'!$C$1:$AU$773,27,)</f>
        <v>9506356.9856849518</v>
      </c>
      <c r="G217" s="404">
        <f t="shared" ref="G217:R217" si="89">IF(VLOOKUP($E217,$D$5:$AH$1237,3,)=0,0,(VLOOKUP($E217,$D$5:$AH$1237,G$1,)/VLOOKUP($E217,$D$5:$AH$1237,3,))*$F217)</f>
        <v>5965394.2731505139</v>
      </c>
      <c r="H217" s="404">
        <f t="shared" si="89"/>
        <v>2174865.6414820268</v>
      </c>
      <c r="I217" s="404">
        <f t="shared" si="89"/>
        <v>50826.206129606981</v>
      </c>
      <c r="J217" s="404">
        <f t="shared" si="89"/>
        <v>638178.32184051152</v>
      </c>
      <c r="K217" s="404">
        <f t="shared" si="89"/>
        <v>234226.61323830648</v>
      </c>
      <c r="L217" s="404">
        <f t="shared" si="89"/>
        <v>23996.018156752027</v>
      </c>
      <c r="M217" s="404">
        <f t="shared" si="89"/>
        <v>169484.27089864016</v>
      </c>
      <c r="N217" s="404">
        <f t="shared" si="89"/>
        <v>230530.96670072246</v>
      </c>
      <c r="O217" s="404">
        <f t="shared" si="89"/>
        <v>8469.6242103480708</v>
      </c>
      <c r="P217" s="404">
        <f t="shared" si="89"/>
        <v>0</v>
      </c>
      <c r="Q217" s="404">
        <f t="shared" si="89"/>
        <v>156.27298037317198</v>
      </c>
      <c r="R217" s="404">
        <f t="shared" si="89"/>
        <v>10228.776897153073</v>
      </c>
      <c r="S217" s="404"/>
      <c r="T217" s="62">
        <f>SUM(G217:R217)</f>
        <v>9506356.9856849536</v>
      </c>
      <c r="U217" s="61" t="str">
        <f>IF(ABS(F217-T217)&lt;0.01,"ok","err")</f>
        <v>ok</v>
      </c>
      <c r="V217" s="62" t="str">
        <f>IF(U217="err",T217-F217,"")</f>
        <v/>
      </c>
    </row>
    <row r="218" spans="1:22" ht="12" customHeight="1" x14ac:dyDescent="0.2">
      <c r="F218" s="73"/>
    </row>
    <row r="219" spans="1:22" ht="12" customHeight="1" x14ac:dyDescent="0.2">
      <c r="A219" s="171" t="s">
        <v>173</v>
      </c>
      <c r="F219" s="73"/>
    </row>
    <row r="220" spans="1:22" ht="12" customHeight="1" x14ac:dyDescent="0.2">
      <c r="A220" s="403" t="s">
        <v>504</v>
      </c>
      <c r="C220" s="55" t="s">
        <v>1037</v>
      </c>
      <c r="D220" s="55" t="s">
        <v>849</v>
      </c>
      <c r="E220" s="55" t="s">
        <v>507</v>
      </c>
      <c r="F220" s="404">
        <f>VLOOKUP(C220,'Functional Assignment'!$C$1:$AU$773,28,)</f>
        <v>1965110.121125703</v>
      </c>
      <c r="G220" s="404">
        <f t="shared" ref="G220:R220" si="90">IF(VLOOKUP($E220,$D$5:$AH$1237,3,)=0,0,(VLOOKUP($E220,$D$5:$AH$1237,G$1,)/VLOOKUP($E220,$D$5:$AH$1237,3,))*$F220)</f>
        <v>0</v>
      </c>
      <c r="H220" s="404">
        <f t="shared" si="90"/>
        <v>0</v>
      </c>
      <c r="I220" s="404">
        <f t="shared" si="90"/>
        <v>0</v>
      </c>
      <c r="J220" s="404">
        <f t="shared" si="90"/>
        <v>0</v>
      </c>
      <c r="K220" s="404">
        <f t="shared" si="90"/>
        <v>0</v>
      </c>
      <c r="L220" s="404">
        <f t="shared" si="90"/>
        <v>0</v>
      </c>
      <c r="M220" s="404">
        <f t="shared" si="90"/>
        <v>0</v>
      </c>
      <c r="N220" s="404">
        <f t="shared" si="90"/>
        <v>0</v>
      </c>
      <c r="O220" s="404">
        <f t="shared" si="90"/>
        <v>0</v>
      </c>
      <c r="P220" s="404">
        <f t="shared" si="90"/>
        <v>1965110.121125703</v>
      </c>
      <c r="Q220" s="404">
        <f t="shared" si="90"/>
        <v>0</v>
      </c>
      <c r="R220" s="404">
        <f t="shared" si="90"/>
        <v>0</v>
      </c>
      <c r="S220" s="404"/>
      <c r="T220" s="62">
        <f>SUM(G220:R220)</f>
        <v>1965110.121125703</v>
      </c>
      <c r="U220" s="61" t="str">
        <f>IF(ABS(F220-T220)&lt;0.01,"ok","err")</f>
        <v>ok</v>
      </c>
      <c r="V220" s="62" t="str">
        <f>IF(U220="err",T220-F220,"")</f>
        <v/>
      </c>
    </row>
    <row r="221" spans="1:22" ht="12" customHeight="1" x14ac:dyDescent="0.2">
      <c r="F221" s="73"/>
    </row>
    <row r="222" spans="1:22" ht="12" customHeight="1" x14ac:dyDescent="0.2">
      <c r="A222" s="171" t="s">
        <v>381</v>
      </c>
      <c r="F222" s="73"/>
    </row>
    <row r="223" spans="1:22" ht="12" customHeight="1" x14ac:dyDescent="0.2">
      <c r="A223" s="403" t="s">
        <v>504</v>
      </c>
      <c r="C223" s="55" t="s">
        <v>1037</v>
      </c>
      <c r="D223" s="55" t="s">
        <v>850</v>
      </c>
      <c r="E223" s="55" t="s">
        <v>508</v>
      </c>
      <c r="F223" s="404">
        <f>VLOOKUP(C223,'Functional Assignment'!$C$1:$AU$773,30,)</f>
        <v>37377841.874573663</v>
      </c>
      <c r="G223" s="404">
        <f t="shared" ref="G223:R223" si="91">IF(VLOOKUP($E223,$D$5:$AH$1237,3,)=0,0,(VLOOKUP($E223,$D$5:$AH$1237,G$1,)/VLOOKUP($E223,$D$5:$AH$1237,3,))*$F223)</f>
        <v>24251242.647148341</v>
      </c>
      <c r="H223" s="404">
        <f t="shared" si="91"/>
        <v>9473462.5777506884</v>
      </c>
      <c r="I223" s="404">
        <f t="shared" si="91"/>
        <v>369236.80603154853</v>
      </c>
      <c r="J223" s="404">
        <f t="shared" si="91"/>
        <v>1624930.412793526</v>
      </c>
      <c r="K223" s="404">
        <f t="shared" si="91"/>
        <v>85674.477649507768</v>
      </c>
      <c r="L223" s="404">
        <f t="shared" si="91"/>
        <v>197599.38447782092</v>
      </c>
      <c r="M223" s="404">
        <f t="shared" si="91"/>
        <v>239426.99141108227</v>
      </c>
      <c r="N223" s="404">
        <f t="shared" si="91"/>
        <v>41539.140678549222</v>
      </c>
      <c r="O223" s="404">
        <f t="shared" si="91"/>
        <v>2884.6625471214729</v>
      </c>
      <c r="P223" s="404">
        <f t="shared" si="91"/>
        <v>1087460.087013853</v>
      </c>
      <c r="Q223" s="404">
        <f t="shared" si="91"/>
        <v>57.693250942429465</v>
      </c>
      <c r="R223" s="404">
        <f t="shared" si="91"/>
        <v>4326.9938206822098</v>
      </c>
      <c r="S223" s="404"/>
      <c r="T223" s="62">
        <f>SUM(G223:R223)</f>
        <v>37377841.874573663</v>
      </c>
      <c r="U223" s="61" t="str">
        <f>IF(ABS(F223-T223)&lt;0.01,"ok","err")</f>
        <v>ok</v>
      </c>
      <c r="V223" s="62" t="str">
        <f>IF(U223="err",T223-F223,"")</f>
        <v/>
      </c>
    </row>
    <row r="224" spans="1:22" ht="12" customHeight="1" x14ac:dyDescent="0.2">
      <c r="F224" s="73"/>
    </row>
    <row r="225" spans="1:22" ht="12" customHeight="1" x14ac:dyDescent="0.2">
      <c r="A225" s="171" t="s">
        <v>2090</v>
      </c>
      <c r="F225" s="73"/>
    </row>
    <row r="226" spans="1:22" ht="12" customHeight="1" x14ac:dyDescent="0.2">
      <c r="A226" s="403" t="s">
        <v>504</v>
      </c>
      <c r="C226" s="55" t="s">
        <v>1037</v>
      </c>
      <c r="D226" s="55" t="s">
        <v>851</v>
      </c>
      <c r="E226" s="55" t="s">
        <v>508</v>
      </c>
      <c r="F226" s="404">
        <f>VLOOKUP(C226,'Functional Assignment'!$C$1:$AU$773,32,)</f>
        <v>15854850.808846243</v>
      </c>
      <c r="G226" s="404">
        <f t="shared" ref="G226:R226" si="92">IF(VLOOKUP($E226,$D$5:$AH$1237,3,)=0,0,(VLOOKUP($E226,$D$5:$AH$1237,G$1,)/VLOOKUP($E226,$D$5:$AH$1237,3,))*$F226)</f>
        <v>10286838.801178167</v>
      </c>
      <c r="H226" s="404">
        <f t="shared" si="92"/>
        <v>4018432.5333025483</v>
      </c>
      <c r="I226" s="404">
        <f t="shared" si="92"/>
        <v>156622.05678994607</v>
      </c>
      <c r="J226" s="404">
        <f t="shared" si="92"/>
        <v>689259.41085762996</v>
      </c>
      <c r="K226" s="404">
        <f t="shared" si="92"/>
        <v>36341.211614542182</v>
      </c>
      <c r="L226" s="404">
        <f t="shared" si="92"/>
        <v>83817.272578994583</v>
      </c>
      <c r="M226" s="404">
        <f t="shared" si="92"/>
        <v>101559.61494973068</v>
      </c>
      <c r="N226" s="404">
        <f t="shared" si="92"/>
        <v>17619.981388868935</v>
      </c>
      <c r="O226" s="404">
        <f t="shared" si="92"/>
        <v>1223.6098186714537</v>
      </c>
      <c r="P226" s="404">
        <f t="shared" si="92"/>
        <v>461276.42944276467</v>
      </c>
      <c r="Q226" s="404">
        <f t="shared" si="92"/>
        <v>24.472196373429078</v>
      </c>
      <c r="R226" s="404">
        <f t="shared" si="92"/>
        <v>1835.4147280071807</v>
      </c>
      <c r="S226" s="404"/>
      <c r="T226" s="62">
        <f>SUM(G226:R226)</f>
        <v>15854850.808846241</v>
      </c>
      <c r="U226" s="61" t="str">
        <f>IF(ABS(F226-T226)&lt;0.01,"ok","err")</f>
        <v>ok</v>
      </c>
      <c r="V226" s="405" t="str">
        <f>IF(U226="err",T226-F226,"")</f>
        <v/>
      </c>
    </row>
    <row r="227" spans="1:22" ht="12" customHeight="1" x14ac:dyDescent="0.2">
      <c r="F227" s="73"/>
    </row>
    <row r="228" spans="1:22" ht="12" customHeight="1" x14ac:dyDescent="0.2">
      <c r="A228" s="171" t="s">
        <v>2089</v>
      </c>
      <c r="F228" s="73"/>
    </row>
    <row r="229" spans="1:22" ht="12" customHeight="1" x14ac:dyDescent="0.2">
      <c r="A229" s="403" t="s">
        <v>504</v>
      </c>
      <c r="C229" s="55" t="s">
        <v>1037</v>
      </c>
      <c r="D229" s="55" t="s">
        <v>852</v>
      </c>
      <c r="E229" s="55" t="s">
        <v>509</v>
      </c>
      <c r="F229" s="404">
        <f>VLOOKUP(C229,'Functional Assignment'!$C$1:$AU$773,34,)</f>
        <v>0</v>
      </c>
      <c r="G229" s="404">
        <f t="shared" ref="G229:R229" si="93">IF(VLOOKUP($E229,$D$5:$AH$1237,3,)=0,0,(VLOOKUP($E229,$D$5:$AH$1237,G$1,)/VLOOKUP($E229,$D$5:$AH$1237,3,))*$F229)</f>
        <v>0</v>
      </c>
      <c r="H229" s="404">
        <f t="shared" si="93"/>
        <v>0</v>
      </c>
      <c r="I229" s="404">
        <f t="shared" si="93"/>
        <v>0</v>
      </c>
      <c r="J229" s="404">
        <f t="shared" si="93"/>
        <v>0</v>
      </c>
      <c r="K229" s="404">
        <f t="shared" si="93"/>
        <v>0</v>
      </c>
      <c r="L229" s="404">
        <f t="shared" si="93"/>
        <v>0</v>
      </c>
      <c r="M229" s="404">
        <f t="shared" si="93"/>
        <v>0</v>
      </c>
      <c r="N229" s="404">
        <f t="shared" si="93"/>
        <v>0</v>
      </c>
      <c r="O229" s="404">
        <f t="shared" si="93"/>
        <v>0</v>
      </c>
      <c r="P229" s="404">
        <f t="shared" si="93"/>
        <v>0</v>
      </c>
      <c r="Q229" s="404">
        <f t="shared" si="93"/>
        <v>0</v>
      </c>
      <c r="R229" s="404">
        <f t="shared" si="93"/>
        <v>0</v>
      </c>
      <c r="S229" s="404"/>
      <c r="T229" s="62">
        <f>SUM(G229:R229)</f>
        <v>0</v>
      </c>
      <c r="U229" s="61" t="str">
        <f>IF(ABS(F229-T229)&lt;0.01,"ok","err")</f>
        <v>ok</v>
      </c>
      <c r="V229" s="62" t="str">
        <f>IF(U229="err",T229-F229,"")</f>
        <v/>
      </c>
    </row>
    <row r="230" spans="1:22" ht="12" customHeight="1" x14ac:dyDescent="0.2">
      <c r="F230" s="73"/>
    </row>
    <row r="231" spans="1:22" ht="12" customHeight="1" x14ac:dyDescent="0.2">
      <c r="A231" s="55" t="s">
        <v>82</v>
      </c>
      <c r="D231" s="55" t="s">
        <v>516</v>
      </c>
      <c r="F231" s="404">
        <f>F186+F192+F195+F198+F206+F211+F214+F217+F220+F223+F226+F229</f>
        <v>858787982.80655324</v>
      </c>
      <c r="G231" s="404">
        <f>G186+G192+G195+G198+G206+G211+G214+G217+G220+G223+G226+G229</f>
        <v>332550542.46238667</v>
      </c>
      <c r="H231" s="404">
        <f t="shared" ref="H231:R231" si="94">H186+H192+H195+H198+H206+H211+H214+H217+H220+H223+H226+H229</f>
        <v>104905177.57274917</v>
      </c>
      <c r="I231" s="404">
        <f>I186+I192+I195+I198+I206+I211+I214+I217+I220+I223+I226+I229</f>
        <v>7372239.2442167262</v>
      </c>
      <c r="J231" s="404">
        <f t="shared" si="94"/>
        <v>131510847.83207567</v>
      </c>
      <c r="K231" s="404">
        <f t="shared" si="94"/>
        <v>29595390.789760306</v>
      </c>
      <c r="L231" s="404">
        <f t="shared" si="94"/>
        <v>19447461.670868166</v>
      </c>
      <c r="M231" s="404">
        <f>M186+M192+M195+M198+M206+M211+M214+M217+M220+M223+M226+M229</f>
        <v>145790692.3536911</v>
      </c>
      <c r="N231" s="404">
        <f>N186+N192+N195+N198+N206+N211+N214+N217+N220+N223+N226+N229</f>
        <v>59296646.123915702</v>
      </c>
      <c r="O231" s="404">
        <f t="shared" si="94"/>
        <v>18926916.147077117</v>
      </c>
      <c r="P231" s="404">
        <f t="shared" si="94"/>
        <v>9322434.2751641236</v>
      </c>
      <c r="Q231" s="404">
        <f t="shared" si="94"/>
        <v>1876.4788640370346</v>
      </c>
      <c r="R231" s="404">
        <f t="shared" si="94"/>
        <v>67757.855784387517</v>
      </c>
      <c r="S231" s="404"/>
      <c r="T231" s="62">
        <f>SUM(G231:R231)</f>
        <v>858787982.80655324</v>
      </c>
      <c r="U231" s="61" t="str">
        <f>IF(ABS(F231-T231)&lt;0.01,"ok","err")</f>
        <v>ok</v>
      </c>
      <c r="V231" s="405" t="str">
        <f>IF(U231="err",T231-F231,"")</f>
        <v/>
      </c>
    </row>
    <row r="234" spans="1:22" ht="12" customHeight="1" x14ac:dyDescent="0.2">
      <c r="A234" s="402" t="s">
        <v>1038</v>
      </c>
    </row>
    <row r="236" spans="1:22" ht="12" customHeight="1" x14ac:dyDescent="0.2">
      <c r="A236" s="171" t="s">
        <v>166</v>
      </c>
    </row>
    <row r="237" spans="1:22" ht="12" customHeight="1" x14ac:dyDescent="0.2">
      <c r="A237" s="403" t="s">
        <v>153</v>
      </c>
      <c r="C237" s="55" t="s">
        <v>1309</v>
      </c>
      <c r="D237" s="55" t="s">
        <v>853</v>
      </c>
      <c r="E237" s="55" t="s">
        <v>2831</v>
      </c>
      <c r="F237" s="404">
        <f>VLOOKUP(C237,'Functional Assignment'!$C$1:$AU$773,6,)</f>
        <v>14149991.623834027</v>
      </c>
      <c r="G237" s="404">
        <f t="shared" ref="G237:R242" si="95">IF(VLOOKUP($E237,$D$5:$AH$1237,3,)=0,0,(VLOOKUP($E237,$D$5:$AH$1237,G$1,)/VLOOKUP($E237,$D$5:$AH$1237,3,))*$F237)</f>
        <v>4727755.5958499899</v>
      </c>
      <c r="H237" s="404">
        <f t="shared" si="95"/>
        <v>1492028.9328799129</v>
      </c>
      <c r="I237" s="404">
        <f t="shared" si="95"/>
        <v>124257.95341479839</v>
      </c>
      <c r="J237" s="404">
        <f t="shared" si="95"/>
        <v>2428798.7109637503</v>
      </c>
      <c r="K237" s="404">
        <f t="shared" si="95"/>
        <v>517954.75432425132</v>
      </c>
      <c r="L237" s="404">
        <f t="shared" si="95"/>
        <v>392581.43406626012</v>
      </c>
      <c r="M237" s="404">
        <f t="shared" si="95"/>
        <v>2829353.3723366596</v>
      </c>
      <c r="N237" s="404">
        <f t="shared" si="95"/>
        <v>1160863.955374283</v>
      </c>
      <c r="O237" s="404">
        <f t="shared" si="95"/>
        <v>377294.58046785119</v>
      </c>
      <c r="P237" s="404">
        <f t="shared" si="95"/>
        <v>98131.527904431729</v>
      </c>
      <c r="Q237" s="404">
        <f t="shared" si="95"/>
        <v>31.91062069836677</v>
      </c>
      <c r="R237" s="404">
        <f t="shared" si="95"/>
        <v>938.8956311399487</v>
      </c>
      <c r="S237" s="404"/>
      <c r="T237" s="62">
        <f t="shared" ref="T237:T243" si="96">SUM(G237:R237)</f>
        <v>14149991.623834029</v>
      </c>
      <c r="U237" s="61" t="str">
        <f t="shared" ref="U237:U243" si="97">IF(ABS(F237-T237)&lt;0.01,"ok","err")</f>
        <v>ok</v>
      </c>
      <c r="V237" s="62" t="str">
        <f t="shared" ref="V237:V243" si="98">IF(U237="err",T237-F237,"")</f>
        <v/>
      </c>
    </row>
    <row r="238" spans="1:22" ht="12" customHeight="1" x14ac:dyDescent="0.2">
      <c r="A238" s="403" t="s">
        <v>157</v>
      </c>
      <c r="C238" s="55" t="s">
        <v>1309</v>
      </c>
      <c r="D238" s="55" t="s">
        <v>854</v>
      </c>
      <c r="E238" s="55" t="s">
        <v>59</v>
      </c>
      <c r="F238" s="73">
        <f>VLOOKUP(C238,'Functional Assignment'!$C$1:$AU$773,7,)</f>
        <v>13338882.247268716</v>
      </c>
      <c r="G238" s="73">
        <f t="shared" si="95"/>
        <v>6091831.6140177017</v>
      </c>
      <c r="H238" s="73">
        <f t="shared" si="95"/>
        <v>1682351.7487957829</v>
      </c>
      <c r="I238" s="73">
        <f t="shared" si="95"/>
        <v>113421.54753685913</v>
      </c>
      <c r="J238" s="73">
        <f t="shared" si="95"/>
        <v>1690375.0749064034</v>
      </c>
      <c r="K238" s="73">
        <f t="shared" si="95"/>
        <v>375356.15555690561</v>
      </c>
      <c r="L238" s="73">
        <f t="shared" si="95"/>
        <v>251399.16477789576</v>
      </c>
      <c r="M238" s="73">
        <f t="shared" si="95"/>
        <v>2015736.2903303502</v>
      </c>
      <c r="N238" s="73">
        <f t="shared" si="95"/>
        <v>898087.28261307534</v>
      </c>
      <c r="O238" s="73">
        <f t="shared" si="95"/>
        <v>219806.29547587206</v>
      </c>
      <c r="P238" s="73">
        <f t="shared" si="95"/>
        <v>0</v>
      </c>
      <c r="Q238" s="73">
        <f t="shared" si="95"/>
        <v>0</v>
      </c>
      <c r="R238" s="73">
        <f t="shared" si="95"/>
        <v>517.07325787232105</v>
      </c>
      <c r="S238" s="73"/>
      <c r="T238" s="73">
        <f t="shared" si="96"/>
        <v>13338882.247268721</v>
      </c>
      <c r="U238" s="61" t="str">
        <f t="shared" si="97"/>
        <v>ok</v>
      </c>
      <c r="V238" s="62" t="str">
        <f t="shared" si="98"/>
        <v/>
      </c>
    </row>
    <row r="239" spans="1:22" ht="12" customHeight="1" x14ac:dyDescent="0.2">
      <c r="A239" s="403" t="s">
        <v>154</v>
      </c>
      <c r="C239" s="55" t="s">
        <v>1309</v>
      </c>
      <c r="D239" s="55" t="s">
        <v>855</v>
      </c>
      <c r="E239" s="55" t="s">
        <v>62</v>
      </c>
      <c r="F239" s="73">
        <f>VLOOKUP(C239,'Functional Assignment'!$C$1:$AU$773,8,)</f>
        <v>13699124.151569678</v>
      </c>
      <c r="G239" s="73">
        <f t="shared" si="95"/>
        <v>5453838.7368230261</v>
      </c>
      <c r="H239" s="73">
        <f t="shared" si="95"/>
        <v>1655323.3735517778</v>
      </c>
      <c r="I239" s="73">
        <f t="shared" si="95"/>
        <v>94528.139693260135</v>
      </c>
      <c r="J239" s="73">
        <f t="shared" si="95"/>
        <v>2147183.9168399097</v>
      </c>
      <c r="K239" s="73">
        <f t="shared" si="95"/>
        <v>543670.13955493702</v>
      </c>
      <c r="L239" s="73">
        <f t="shared" si="95"/>
        <v>335975.44430730137</v>
      </c>
      <c r="M239" s="73">
        <f t="shared" si="95"/>
        <v>2235011.7566515431</v>
      </c>
      <c r="N239" s="73">
        <f t="shared" si="95"/>
        <v>941376.69755434617</v>
      </c>
      <c r="O239" s="73">
        <f t="shared" si="95"/>
        <v>291696.55825558567</v>
      </c>
      <c r="P239" s="73">
        <f t="shared" si="95"/>
        <v>0</v>
      </c>
      <c r="Q239" s="73">
        <f t="shared" si="95"/>
        <v>0</v>
      </c>
      <c r="R239" s="73">
        <f t="shared" si="95"/>
        <v>519.38833799383156</v>
      </c>
      <c r="S239" s="73"/>
      <c r="T239" s="73">
        <f t="shared" si="96"/>
        <v>13699124.151569679</v>
      </c>
      <c r="U239" s="61" t="str">
        <f t="shared" si="97"/>
        <v>ok</v>
      </c>
      <c r="V239" s="62" t="str">
        <f t="shared" si="98"/>
        <v/>
      </c>
    </row>
    <row r="240" spans="1:22" ht="12" customHeight="1" x14ac:dyDescent="0.2">
      <c r="A240" s="403" t="s">
        <v>155</v>
      </c>
      <c r="C240" s="55" t="s">
        <v>1309</v>
      </c>
      <c r="D240" s="55" t="s">
        <v>2092</v>
      </c>
      <c r="E240" s="55" t="s">
        <v>502</v>
      </c>
      <c r="F240" s="73">
        <f>VLOOKUP(C240,'Functional Assignment'!$C$1:$AU$773,9,)</f>
        <v>32191640.554077383</v>
      </c>
      <c r="G240" s="73">
        <f t="shared" si="95"/>
        <v>10764892.341375379</v>
      </c>
      <c r="H240" s="73">
        <f t="shared" si="95"/>
        <v>3445732.1516939639</v>
      </c>
      <c r="I240" s="73">
        <f t="shared" si="95"/>
        <v>284754.62253082002</v>
      </c>
      <c r="J240" s="73">
        <f t="shared" si="95"/>
        <v>5546746.4489150876</v>
      </c>
      <c r="K240" s="73">
        <f t="shared" si="95"/>
        <v>1268287.603298855</v>
      </c>
      <c r="L240" s="73">
        <f t="shared" si="95"/>
        <v>821111.91667283385</v>
      </c>
      <c r="M240" s="73">
        <f t="shared" si="95"/>
        <v>6333587.3054467514</v>
      </c>
      <c r="N240" s="73">
        <f t="shared" si="95"/>
        <v>2642819.989932721</v>
      </c>
      <c r="O240" s="73">
        <f t="shared" si="95"/>
        <v>858356.12549118022</v>
      </c>
      <c r="P240" s="73">
        <f t="shared" si="95"/>
        <v>223252.06799622258</v>
      </c>
      <c r="Q240" s="73">
        <f t="shared" si="95"/>
        <v>72.530531127039467</v>
      </c>
      <c r="R240" s="73">
        <f t="shared" si="95"/>
        <v>2027.4501924430267</v>
      </c>
      <c r="S240" s="73"/>
      <c r="T240" s="73">
        <f t="shared" si="96"/>
        <v>32191640.554077383</v>
      </c>
      <c r="U240" s="61" t="str">
        <f t="shared" si="97"/>
        <v>ok</v>
      </c>
      <c r="V240" s="62" t="str">
        <f t="shared" si="98"/>
        <v/>
      </c>
    </row>
    <row r="241" spans="1:22" ht="12" customHeight="1" x14ac:dyDescent="0.2">
      <c r="A241" s="403" t="s">
        <v>158</v>
      </c>
      <c r="C241" s="55" t="s">
        <v>1309</v>
      </c>
      <c r="D241" s="55" t="s">
        <v>2093</v>
      </c>
      <c r="E241" s="55" t="s">
        <v>502</v>
      </c>
      <c r="F241" s="73">
        <f>VLOOKUP(C241,'Functional Assignment'!$C$1:$AU$773,10,)</f>
        <v>0</v>
      </c>
      <c r="G241" s="73">
        <f t="shared" si="95"/>
        <v>0</v>
      </c>
      <c r="H241" s="73">
        <f t="shared" si="95"/>
        <v>0</v>
      </c>
      <c r="I241" s="73">
        <f t="shared" si="95"/>
        <v>0</v>
      </c>
      <c r="J241" s="73">
        <f t="shared" si="95"/>
        <v>0</v>
      </c>
      <c r="K241" s="73">
        <f t="shared" si="95"/>
        <v>0</v>
      </c>
      <c r="L241" s="73">
        <f t="shared" si="95"/>
        <v>0</v>
      </c>
      <c r="M241" s="73">
        <f t="shared" si="95"/>
        <v>0</v>
      </c>
      <c r="N241" s="73">
        <f t="shared" si="95"/>
        <v>0</v>
      </c>
      <c r="O241" s="73">
        <f t="shared" si="95"/>
        <v>0</v>
      </c>
      <c r="P241" s="73">
        <f t="shared" si="95"/>
        <v>0</v>
      </c>
      <c r="Q241" s="73">
        <f t="shared" si="95"/>
        <v>0</v>
      </c>
      <c r="R241" s="73">
        <f t="shared" si="95"/>
        <v>0</v>
      </c>
      <c r="S241" s="73"/>
      <c r="T241" s="73">
        <f t="shared" si="96"/>
        <v>0</v>
      </c>
      <c r="U241" s="61" t="str">
        <f t="shared" si="97"/>
        <v>ok</v>
      </c>
      <c r="V241" s="62" t="str">
        <f t="shared" si="98"/>
        <v/>
      </c>
    </row>
    <row r="242" spans="1:22" ht="12" customHeight="1" x14ac:dyDescent="0.2">
      <c r="A242" s="403" t="s">
        <v>156</v>
      </c>
      <c r="C242" s="55" t="s">
        <v>1309</v>
      </c>
      <c r="D242" s="55" t="s">
        <v>2094</v>
      </c>
      <c r="E242" s="55" t="s">
        <v>502</v>
      </c>
      <c r="F242" s="73">
        <f>VLOOKUP(C242,'Functional Assignment'!$C$1:$AU$773,11,)</f>
        <v>0</v>
      </c>
      <c r="G242" s="73">
        <f t="shared" si="95"/>
        <v>0</v>
      </c>
      <c r="H242" s="73">
        <f t="shared" si="95"/>
        <v>0</v>
      </c>
      <c r="I242" s="73">
        <f t="shared" si="95"/>
        <v>0</v>
      </c>
      <c r="J242" s="73">
        <f t="shared" si="95"/>
        <v>0</v>
      </c>
      <c r="K242" s="73">
        <f t="shared" si="95"/>
        <v>0</v>
      </c>
      <c r="L242" s="73">
        <f t="shared" si="95"/>
        <v>0</v>
      </c>
      <c r="M242" s="73">
        <f t="shared" si="95"/>
        <v>0</v>
      </c>
      <c r="N242" s="73">
        <f t="shared" si="95"/>
        <v>0</v>
      </c>
      <c r="O242" s="73">
        <f t="shared" si="95"/>
        <v>0</v>
      </c>
      <c r="P242" s="73">
        <f t="shared" si="95"/>
        <v>0</v>
      </c>
      <c r="Q242" s="73">
        <f t="shared" si="95"/>
        <v>0</v>
      </c>
      <c r="R242" s="73">
        <f t="shared" si="95"/>
        <v>0</v>
      </c>
      <c r="S242" s="73"/>
      <c r="T242" s="73">
        <f t="shared" si="96"/>
        <v>0</v>
      </c>
      <c r="U242" s="61" t="str">
        <f t="shared" si="97"/>
        <v>ok</v>
      </c>
      <c r="V242" s="62" t="str">
        <f t="shared" si="98"/>
        <v/>
      </c>
    </row>
    <row r="243" spans="1:22" ht="12" customHeight="1" x14ac:dyDescent="0.2">
      <c r="A243" s="55" t="s">
        <v>189</v>
      </c>
      <c r="D243" s="55" t="s">
        <v>517</v>
      </c>
      <c r="F243" s="404">
        <f t="shared" ref="F243:R243" si="99">SUM(F237:F242)</f>
        <v>73379638.576749802</v>
      </c>
      <c r="G243" s="404">
        <f t="shared" si="99"/>
        <v>27038318.288066097</v>
      </c>
      <c r="H243" s="404">
        <f t="shared" si="99"/>
        <v>8275436.2069214378</v>
      </c>
      <c r="I243" s="404">
        <f>SUM(I237:I242)</f>
        <v>616962.26317573769</v>
      </c>
      <c r="J243" s="404">
        <f t="shared" si="99"/>
        <v>11813104.151625151</v>
      </c>
      <c r="K243" s="404">
        <f t="shared" si="99"/>
        <v>2705268.6527349488</v>
      </c>
      <c r="L243" s="404">
        <f t="shared" si="99"/>
        <v>1801067.9598242911</v>
      </c>
      <c r="M243" s="404">
        <f t="shared" si="99"/>
        <v>13413688.724765304</v>
      </c>
      <c r="N243" s="404">
        <f>SUM(N237:N242)</f>
        <v>5643147.9254744258</v>
      </c>
      <c r="O243" s="404">
        <f t="shared" si="99"/>
        <v>1747153.5596904892</v>
      </c>
      <c r="P243" s="404">
        <f t="shared" si="99"/>
        <v>321383.59590065433</v>
      </c>
      <c r="Q243" s="404">
        <f t="shared" si="99"/>
        <v>104.44115182540624</v>
      </c>
      <c r="R243" s="404">
        <f t="shared" si="99"/>
        <v>4002.8074194491282</v>
      </c>
      <c r="S243" s="404"/>
      <c r="T243" s="62">
        <f t="shared" si="96"/>
        <v>73379638.576749817</v>
      </c>
      <c r="U243" s="61" t="str">
        <f t="shared" si="97"/>
        <v>ok</v>
      </c>
      <c r="V243" s="62" t="str">
        <f t="shared" si="98"/>
        <v/>
      </c>
    </row>
    <row r="244" spans="1:22" ht="12" customHeight="1" x14ac:dyDescent="0.2">
      <c r="F244" s="73"/>
      <c r="G244" s="73"/>
    </row>
    <row r="245" spans="1:22" ht="12" customHeight="1" x14ac:dyDescent="0.2">
      <c r="A245" s="171" t="s">
        <v>554</v>
      </c>
      <c r="F245" s="73"/>
      <c r="G245" s="73"/>
    </row>
    <row r="246" spans="1:22" ht="12" customHeight="1" x14ac:dyDescent="0.2">
      <c r="A246" s="403" t="s">
        <v>159</v>
      </c>
      <c r="C246" s="55" t="s">
        <v>1309</v>
      </c>
      <c r="D246" s="55" t="s">
        <v>2095</v>
      </c>
      <c r="E246" s="55" t="s">
        <v>2831</v>
      </c>
      <c r="F246" s="404">
        <f>VLOOKUP(C246,'Functional Assignment'!$C$1:$AU$773,13,)</f>
        <v>2877728.2032663347</v>
      </c>
      <c r="G246" s="404">
        <f t="shared" ref="G246:R248" si="100">IF(VLOOKUP($E246,$D$5:$AH$1237,3,)=0,0,(VLOOKUP($E246,$D$5:$AH$1237,G$1,)/VLOOKUP($E246,$D$5:$AH$1237,3,))*$F246)</f>
        <v>961498.49257941393</v>
      </c>
      <c r="H246" s="404">
        <f t="shared" si="100"/>
        <v>303438.606493995</v>
      </c>
      <c r="I246" s="404">
        <f t="shared" si="100"/>
        <v>25270.729943021059</v>
      </c>
      <c r="J246" s="404">
        <f t="shared" si="100"/>
        <v>493952.41611482139</v>
      </c>
      <c r="K246" s="404">
        <f t="shared" si="100"/>
        <v>105338.08387731854</v>
      </c>
      <c r="L246" s="404">
        <f t="shared" si="100"/>
        <v>79840.518279056705</v>
      </c>
      <c r="M246" s="404">
        <f t="shared" si="100"/>
        <v>575414.47465350269</v>
      </c>
      <c r="N246" s="404">
        <f t="shared" si="100"/>
        <v>236088.54572810809</v>
      </c>
      <c r="O246" s="404">
        <f t="shared" si="100"/>
        <v>76731.582888222518</v>
      </c>
      <c r="P246" s="404">
        <f t="shared" si="100"/>
        <v>19957.316794770202</v>
      </c>
      <c r="Q246" s="404">
        <f t="shared" si="100"/>
        <v>6.4897630760959126</v>
      </c>
      <c r="R246" s="404">
        <f t="shared" si="100"/>
        <v>190.94615102838367</v>
      </c>
      <c r="S246" s="404"/>
      <c r="T246" s="62">
        <f>SUM(G246:R246)</f>
        <v>2877728.2032663338</v>
      </c>
      <c r="U246" s="61" t="str">
        <f>IF(ABS(F246-T246)&lt;0.01,"ok","err")</f>
        <v>ok</v>
      </c>
      <c r="V246" s="62" t="str">
        <f>IF(U246="err",T246-F246,"")</f>
        <v/>
      </c>
    </row>
    <row r="247" spans="1:22" ht="12" customHeight="1" x14ac:dyDescent="0.2">
      <c r="A247" s="403" t="s">
        <v>161</v>
      </c>
      <c r="C247" s="55" t="s">
        <v>1309</v>
      </c>
      <c r="D247" s="55" t="s">
        <v>2096</v>
      </c>
      <c r="E247" s="55" t="s">
        <v>59</v>
      </c>
      <c r="F247" s="73">
        <f>VLOOKUP(C247,'Functional Assignment'!$C$1:$AU$773,14,)</f>
        <v>2712770.3438606686</v>
      </c>
      <c r="G247" s="73">
        <f t="shared" si="100"/>
        <v>1238914.913255488</v>
      </c>
      <c r="H247" s="73">
        <f t="shared" si="100"/>
        <v>342145.15485432284</v>
      </c>
      <c r="I247" s="73">
        <f t="shared" si="100"/>
        <v>23066.896071878644</v>
      </c>
      <c r="J247" s="73">
        <f t="shared" si="100"/>
        <v>343776.88386493555</v>
      </c>
      <c r="K247" s="73">
        <f t="shared" si="100"/>
        <v>76337.359330750856</v>
      </c>
      <c r="L247" s="73">
        <f t="shared" si="100"/>
        <v>51127.837103477075</v>
      </c>
      <c r="M247" s="73">
        <f t="shared" si="100"/>
        <v>409946.61532240256</v>
      </c>
      <c r="N247" s="73">
        <f t="shared" si="100"/>
        <v>182646.82912018555</v>
      </c>
      <c r="O247" s="73">
        <f t="shared" si="100"/>
        <v>44702.696126050359</v>
      </c>
      <c r="P247" s="73">
        <f t="shared" si="100"/>
        <v>0</v>
      </c>
      <c r="Q247" s="73">
        <f t="shared" si="100"/>
        <v>0</v>
      </c>
      <c r="R247" s="73">
        <f t="shared" si="100"/>
        <v>105.15881117750112</v>
      </c>
      <c r="S247" s="73"/>
      <c r="T247" s="73">
        <f>SUM(G247:R247)</f>
        <v>2712770.3438606691</v>
      </c>
      <c r="U247" s="61" t="str">
        <f>IF(ABS(F247-T247)&lt;0.01,"ok","err")</f>
        <v>ok</v>
      </c>
      <c r="V247" s="62" t="str">
        <f>IF(U247="err",T247-F247,"")</f>
        <v/>
      </c>
    </row>
    <row r="248" spans="1:22" ht="12" customHeight="1" x14ac:dyDescent="0.2">
      <c r="A248" s="403" t="s">
        <v>160</v>
      </c>
      <c r="C248" s="55" t="s">
        <v>1309</v>
      </c>
      <c r="D248" s="55" t="s">
        <v>2097</v>
      </c>
      <c r="E248" s="55" t="s">
        <v>62</v>
      </c>
      <c r="F248" s="73">
        <f>VLOOKUP(C248,'Functional Assignment'!$C$1:$AU$773,15,)</f>
        <v>2786033.8704806482</v>
      </c>
      <c r="G248" s="73">
        <f t="shared" si="100"/>
        <v>1109164.299615995</v>
      </c>
      <c r="H248" s="73">
        <f t="shared" si="100"/>
        <v>336648.30935816537</v>
      </c>
      <c r="I248" s="73">
        <f t="shared" si="100"/>
        <v>19224.484425799783</v>
      </c>
      <c r="J248" s="73">
        <f t="shared" si="100"/>
        <v>436679.53164595901</v>
      </c>
      <c r="K248" s="73">
        <f t="shared" si="100"/>
        <v>110567.90247392857</v>
      </c>
      <c r="L248" s="73">
        <f t="shared" si="100"/>
        <v>68328.380495965714</v>
      </c>
      <c r="M248" s="73">
        <f t="shared" si="100"/>
        <v>454541.35505737195</v>
      </c>
      <c r="N248" s="73">
        <f t="shared" si="100"/>
        <v>191450.73329137688</v>
      </c>
      <c r="O248" s="73">
        <f t="shared" si="100"/>
        <v>59323.244479799454</v>
      </c>
      <c r="P248" s="73">
        <f t="shared" si="100"/>
        <v>0</v>
      </c>
      <c r="Q248" s="73">
        <f t="shared" si="100"/>
        <v>0</v>
      </c>
      <c r="R248" s="73">
        <f t="shared" si="100"/>
        <v>105.62963628719731</v>
      </c>
      <c r="S248" s="73"/>
      <c r="T248" s="73">
        <f>SUM(G248:R248)</f>
        <v>2786033.8704806492</v>
      </c>
      <c r="U248" s="61" t="str">
        <f>IF(ABS(F248-T248)&lt;0.01,"ok","err")</f>
        <v>ok</v>
      </c>
      <c r="V248" s="62" t="str">
        <f>IF(U248="err",T248-F248,"")</f>
        <v/>
      </c>
    </row>
    <row r="249" spans="1:22" ht="12" customHeight="1" x14ac:dyDescent="0.2">
      <c r="A249" s="55" t="s">
        <v>556</v>
      </c>
      <c r="D249" s="55" t="s">
        <v>2098</v>
      </c>
      <c r="F249" s="404">
        <f t="shared" ref="F249:R249" si="101">SUM(F246:F248)</f>
        <v>8376532.4176076511</v>
      </c>
      <c r="G249" s="404">
        <f t="shared" si="101"/>
        <v>3309577.7054508971</v>
      </c>
      <c r="H249" s="404">
        <f t="shared" si="101"/>
        <v>982232.07070648321</v>
      </c>
      <c r="I249" s="404">
        <f>SUM(I246:I248)</f>
        <v>67562.110440699485</v>
      </c>
      <c r="J249" s="404">
        <f t="shared" si="101"/>
        <v>1274408.8316257158</v>
      </c>
      <c r="K249" s="404">
        <f t="shared" si="101"/>
        <v>292243.34568199795</v>
      </c>
      <c r="L249" s="404">
        <f t="shared" si="101"/>
        <v>199296.73587849949</v>
      </c>
      <c r="M249" s="404">
        <f t="shared" si="101"/>
        <v>1439902.4450332772</v>
      </c>
      <c r="N249" s="404">
        <f>SUM(N246:N248)</f>
        <v>610186.10813967045</v>
      </c>
      <c r="O249" s="404">
        <f t="shared" si="101"/>
        <v>180757.52349407232</v>
      </c>
      <c r="P249" s="404">
        <f t="shared" si="101"/>
        <v>19957.316794770202</v>
      </c>
      <c r="Q249" s="404">
        <f t="shared" si="101"/>
        <v>6.4897630760959126</v>
      </c>
      <c r="R249" s="404">
        <f t="shared" si="101"/>
        <v>401.7345984930821</v>
      </c>
      <c r="S249" s="404"/>
      <c r="T249" s="62">
        <f>SUM(G249:R249)</f>
        <v>8376532.417607652</v>
      </c>
      <c r="U249" s="61" t="str">
        <f>IF(ABS(F249-T249)&lt;0.01,"ok","err")</f>
        <v>ok</v>
      </c>
      <c r="V249" s="62" t="str">
        <f>IF(U249="err",T249-F249,"")</f>
        <v/>
      </c>
    </row>
    <row r="250" spans="1:22" ht="12" customHeight="1" x14ac:dyDescent="0.2">
      <c r="F250" s="73"/>
      <c r="G250" s="73"/>
    </row>
    <row r="251" spans="1:22" ht="12" customHeight="1" x14ac:dyDescent="0.2">
      <c r="A251" s="171" t="s">
        <v>2087</v>
      </c>
      <c r="F251" s="73"/>
      <c r="G251" s="73"/>
    </row>
    <row r="252" spans="1:22" ht="12" customHeight="1" x14ac:dyDescent="0.2">
      <c r="A252" s="403" t="s">
        <v>174</v>
      </c>
      <c r="C252" s="55" t="s">
        <v>1309</v>
      </c>
      <c r="D252" s="55" t="s">
        <v>2099</v>
      </c>
      <c r="E252" s="55" t="s">
        <v>2730</v>
      </c>
      <c r="F252" s="404">
        <f>VLOOKUP(C252,'Functional Assignment'!$C$1:$AU$773,17,)</f>
        <v>0</v>
      </c>
      <c r="G252" s="404">
        <f t="shared" ref="G252:R252" si="102">IF(VLOOKUP($E252,$D$5:$AH$1237,3,)=0,0,(VLOOKUP($E252,$D$5:$AH$1237,G$1,)/VLOOKUP($E252,$D$5:$AH$1237,3,))*$F252)</f>
        <v>0</v>
      </c>
      <c r="H252" s="404">
        <f t="shared" si="102"/>
        <v>0</v>
      </c>
      <c r="I252" s="404">
        <f t="shared" si="102"/>
        <v>0</v>
      </c>
      <c r="J252" s="404">
        <f t="shared" si="102"/>
        <v>0</v>
      </c>
      <c r="K252" s="404">
        <f t="shared" si="102"/>
        <v>0</v>
      </c>
      <c r="L252" s="404">
        <f t="shared" si="102"/>
        <v>0</v>
      </c>
      <c r="M252" s="404">
        <f t="shared" si="102"/>
        <v>0</v>
      </c>
      <c r="N252" s="404">
        <f t="shared" si="102"/>
        <v>0</v>
      </c>
      <c r="O252" s="404">
        <f t="shared" si="102"/>
        <v>0</v>
      </c>
      <c r="P252" s="404">
        <f t="shared" si="102"/>
        <v>0</v>
      </c>
      <c r="Q252" s="404">
        <f t="shared" si="102"/>
        <v>0</v>
      </c>
      <c r="R252" s="404">
        <f t="shared" si="102"/>
        <v>0</v>
      </c>
      <c r="S252" s="404"/>
      <c r="T252" s="62">
        <f>SUM(G252:R252)</f>
        <v>0</v>
      </c>
      <c r="U252" s="61" t="str">
        <f>IF(ABS(F252-T252)&lt;0.01,"ok","err")</f>
        <v>ok</v>
      </c>
      <c r="V252" s="62" t="str">
        <f>IF(U252="err",T252-F252,"")</f>
        <v/>
      </c>
    </row>
    <row r="253" spans="1:22" ht="12" customHeight="1" x14ac:dyDescent="0.2">
      <c r="F253" s="73"/>
    </row>
    <row r="254" spans="1:22" ht="12" customHeight="1" x14ac:dyDescent="0.2">
      <c r="A254" s="171" t="s">
        <v>2088</v>
      </c>
      <c r="F254" s="73"/>
      <c r="G254" s="73"/>
    </row>
    <row r="255" spans="1:22" ht="12" customHeight="1" x14ac:dyDescent="0.2">
      <c r="A255" s="403" t="s">
        <v>176</v>
      </c>
      <c r="C255" s="55" t="s">
        <v>1309</v>
      </c>
      <c r="D255" s="55" t="s">
        <v>2100</v>
      </c>
      <c r="E255" s="55" t="s">
        <v>2729</v>
      </c>
      <c r="F255" s="404">
        <f>VLOOKUP(C255,'Functional Assignment'!$C$1:$AU$773,18,)</f>
        <v>3508304.354813735</v>
      </c>
      <c r="G255" s="404">
        <f t="shared" ref="G255:R255" si="103">IF(VLOOKUP($E255,$D$5:$AH$1237,3,)=0,0,(VLOOKUP($E255,$D$5:$AH$1237,G$1,)/VLOOKUP($E255,$D$5:$AH$1237,3,))*$F255)</f>
        <v>1586955.8016450831</v>
      </c>
      <c r="H255" s="404">
        <f t="shared" si="103"/>
        <v>486530.86128802533</v>
      </c>
      <c r="I255" s="404">
        <f t="shared" si="103"/>
        <v>45817.742114562046</v>
      </c>
      <c r="J255" s="404">
        <f t="shared" si="103"/>
        <v>537252.08273086709</v>
      </c>
      <c r="K255" s="404">
        <f t="shared" si="103"/>
        <v>133983.93525824716</v>
      </c>
      <c r="L255" s="404">
        <f t="shared" si="103"/>
        <v>79466.988740007815</v>
      </c>
      <c r="M255" s="404">
        <f t="shared" si="103"/>
        <v>611120.57368628925</v>
      </c>
      <c r="N255" s="404">
        <f t="shared" si="103"/>
        <v>0</v>
      </c>
      <c r="O255" s="404">
        <f t="shared" si="103"/>
        <v>0</v>
      </c>
      <c r="P255" s="404">
        <f t="shared" si="103"/>
        <v>27033.572309163719</v>
      </c>
      <c r="Q255" s="404">
        <f t="shared" si="103"/>
        <v>8.7919722352477123</v>
      </c>
      <c r="R255" s="404">
        <f t="shared" si="103"/>
        <v>134.00506925404926</v>
      </c>
      <c r="S255" s="404"/>
      <c r="T255" s="62">
        <f>SUM(G255:R255)</f>
        <v>3508304.3548137345</v>
      </c>
      <c r="U255" s="61" t="str">
        <f>IF(ABS(F255-T255)&lt;0.01,"ok","err")</f>
        <v>ok</v>
      </c>
      <c r="V255" s="62" t="str">
        <f>IF(U255="err",T255-F255,"")</f>
        <v/>
      </c>
    </row>
    <row r="256" spans="1:22" ht="12" customHeight="1" x14ac:dyDescent="0.2">
      <c r="F256" s="73"/>
    </row>
    <row r="257" spans="1:22" ht="12" customHeight="1" x14ac:dyDescent="0.2">
      <c r="A257" s="171" t="s">
        <v>175</v>
      </c>
      <c r="F257" s="73"/>
    </row>
    <row r="258" spans="1:22" ht="12" customHeight="1" x14ac:dyDescent="0.2">
      <c r="A258" s="403" t="s">
        <v>1010</v>
      </c>
      <c r="C258" s="55" t="s">
        <v>1309</v>
      </c>
      <c r="D258" s="55" t="s">
        <v>2101</v>
      </c>
      <c r="E258" s="55" t="s">
        <v>2730</v>
      </c>
      <c r="F258" s="404">
        <f>VLOOKUP(C258,'Functional Assignment'!$C$1:$AU$773,19,)</f>
        <v>0</v>
      </c>
      <c r="G258" s="404">
        <f t="shared" ref="G258:R262" si="104">IF(VLOOKUP($E258,$D$5:$AH$1237,3,)=0,0,(VLOOKUP($E258,$D$5:$AH$1237,G$1,)/VLOOKUP($E258,$D$5:$AH$1237,3,))*$F258)</f>
        <v>0</v>
      </c>
      <c r="H258" s="404">
        <f t="shared" si="104"/>
        <v>0</v>
      </c>
      <c r="I258" s="404">
        <f t="shared" si="104"/>
        <v>0</v>
      </c>
      <c r="J258" s="404">
        <f t="shared" si="104"/>
        <v>0</v>
      </c>
      <c r="K258" s="404">
        <f t="shared" si="104"/>
        <v>0</v>
      </c>
      <c r="L258" s="404">
        <f t="shared" si="104"/>
        <v>0</v>
      </c>
      <c r="M258" s="404">
        <f t="shared" si="104"/>
        <v>0</v>
      </c>
      <c r="N258" s="404">
        <f t="shared" si="104"/>
        <v>0</v>
      </c>
      <c r="O258" s="404">
        <f t="shared" si="104"/>
        <v>0</v>
      </c>
      <c r="P258" s="404">
        <f t="shared" si="104"/>
        <v>0</v>
      </c>
      <c r="Q258" s="404">
        <f t="shared" si="104"/>
        <v>0</v>
      </c>
      <c r="R258" s="404">
        <f t="shared" si="104"/>
        <v>0</v>
      </c>
      <c r="S258" s="404"/>
      <c r="T258" s="62">
        <f t="shared" ref="T258:T263" si="105">SUM(G258:R258)</f>
        <v>0</v>
      </c>
      <c r="U258" s="61" t="str">
        <f t="shared" ref="U258:U263" si="106">IF(ABS(F258-T258)&lt;0.01,"ok","err")</f>
        <v>ok</v>
      </c>
      <c r="V258" s="62" t="str">
        <f t="shared" ref="V258:V263" si="107">IF(U258="err",T258-F258,"")</f>
        <v/>
      </c>
    </row>
    <row r="259" spans="1:22" ht="12" customHeight="1" x14ac:dyDescent="0.2">
      <c r="A259" s="403" t="s">
        <v>1011</v>
      </c>
      <c r="C259" s="55" t="s">
        <v>1309</v>
      </c>
      <c r="D259" s="55" t="s">
        <v>2102</v>
      </c>
      <c r="E259" s="55" t="s">
        <v>2730</v>
      </c>
      <c r="F259" s="73">
        <f>VLOOKUP(C259,'Functional Assignment'!$C$1:$AU$773,20,)</f>
        <v>5682175.425527228</v>
      </c>
      <c r="G259" s="73">
        <f t="shared" si="104"/>
        <v>2570290.4724137904</v>
      </c>
      <c r="H259" s="73">
        <f t="shared" si="104"/>
        <v>788002.8139457677</v>
      </c>
      <c r="I259" s="73">
        <f t="shared" si="104"/>
        <v>74208.056646878555</v>
      </c>
      <c r="J259" s="73">
        <f t="shared" si="104"/>
        <v>870152.72139031196</v>
      </c>
      <c r="K259" s="73">
        <f t="shared" si="104"/>
        <v>217005.18180392121</v>
      </c>
      <c r="L259" s="73">
        <f t="shared" si="104"/>
        <v>128707.58203733299</v>
      </c>
      <c r="M259" s="73">
        <f t="shared" si="104"/>
        <v>989792.77583763062</v>
      </c>
      <c r="N259" s="73">
        <f t="shared" si="104"/>
        <v>0</v>
      </c>
      <c r="O259" s="73">
        <f t="shared" si="104"/>
        <v>0</v>
      </c>
      <c r="P259" s="73">
        <f t="shared" si="104"/>
        <v>43784.542247190227</v>
      </c>
      <c r="Q259" s="73">
        <f t="shared" si="104"/>
        <v>14.239793223326149</v>
      </c>
      <c r="R259" s="73">
        <f t="shared" si="104"/>
        <v>217.03941118069272</v>
      </c>
      <c r="S259" s="73"/>
      <c r="T259" s="73">
        <f t="shared" si="105"/>
        <v>5682175.425527228</v>
      </c>
      <c r="U259" s="61" t="str">
        <f t="shared" si="106"/>
        <v>ok</v>
      </c>
      <c r="V259" s="62" t="str">
        <f t="shared" si="107"/>
        <v/>
      </c>
    </row>
    <row r="260" spans="1:22" ht="12" customHeight="1" x14ac:dyDescent="0.2">
      <c r="A260" s="403" t="s">
        <v>1012</v>
      </c>
      <c r="C260" s="55" t="s">
        <v>1309</v>
      </c>
      <c r="D260" s="55" t="s">
        <v>2103</v>
      </c>
      <c r="E260" s="55" t="s">
        <v>1180</v>
      </c>
      <c r="F260" s="73">
        <f>VLOOKUP(C260,'Functional Assignment'!$C$1:$AU$773,21,)</f>
        <v>8132901.4448825968</v>
      </c>
      <c r="G260" s="73">
        <f t="shared" si="104"/>
        <v>6471667.2115802355</v>
      </c>
      <c r="H260" s="73">
        <f t="shared" si="104"/>
        <v>1264040.3223166533</v>
      </c>
      <c r="I260" s="73">
        <f t="shared" si="104"/>
        <v>9853.4238664424502</v>
      </c>
      <c r="J260" s="73">
        <f t="shared" si="104"/>
        <v>86725.52599948486</v>
      </c>
      <c r="K260" s="73">
        <f t="shared" si="104"/>
        <v>4572.6045130209495</v>
      </c>
      <c r="L260" s="73">
        <f t="shared" si="104"/>
        <v>2109.248546410337</v>
      </c>
      <c r="M260" s="73">
        <f t="shared" si="104"/>
        <v>2555.7318153585106</v>
      </c>
      <c r="N260" s="73">
        <f t="shared" si="104"/>
        <v>0</v>
      </c>
      <c r="O260" s="73">
        <f t="shared" si="104"/>
        <v>0</v>
      </c>
      <c r="P260" s="73">
        <f t="shared" si="104"/>
        <v>290205.57149698428</v>
      </c>
      <c r="Q260" s="73">
        <f t="shared" si="104"/>
        <v>18.817302522719956</v>
      </c>
      <c r="R260" s="73">
        <f t="shared" si="104"/>
        <v>1152.9874454830226</v>
      </c>
      <c r="S260" s="73"/>
      <c r="T260" s="73">
        <f t="shared" si="105"/>
        <v>8132901.4448825959</v>
      </c>
      <c r="U260" s="61" t="str">
        <f t="shared" si="106"/>
        <v>ok</v>
      </c>
      <c r="V260" s="62" t="str">
        <f t="shared" si="107"/>
        <v/>
      </c>
    </row>
    <row r="261" spans="1:22" ht="12" customHeight="1" x14ac:dyDescent="0.2">
      <c r="A261" s="403" t="s">
        <v>1013</v>
      </c>
      <c r="C261" s="55" t="s">
        <v>1309</v>
      </c>
      <c r="D261" s="55" t="s">
        <v>2104</v>
      </c>
      <c r="E261" s="55" t="s">
        <v>909</v>
      </c>
      <c r="F261" s="73">
        <f>VLOOKUP(C261,'Functional Assignment'!$C$1:$AU$773,22,)</f>
        <v>1002736.8397989227</v>
      </c>
      <c r="G261" s="73">
        <f t="shared" si="104"/>
        <v>686806.74996382301</v>
      </c>
      <c r="H261" s="73">
        <f t="shared" si="104"/>
        <v>159598.92140784417</v>
      </c>
      <c r="I261" s="73">
        <f t="shared" si="104"/>
        <v>9370.8619845877638</v>
      </c>
      <c r="J261" s="73">
        <f t="shared" si="104"/>
        <v>123224.10760429956</v>
      </c>
      <c r="K261" s="73">
        <f t="shared" si="104"/>
        <v>0</v>
      </c>
      <c r="L261" s="73">
        <f t="shared" si="104"/>
        <v>18627.43082296017</v>
      </c>
      <c r="M261" s="73">
        <f t="shared" si="104"/>
        <v>0</v>
      </c>
      <c r="N261" s="73">
        <f t="shared" si="104"/>
        <v>0</v>
      </c>
      <c r="O261" s="73">
        <f t="shared" si="104"/>
        <v>0</v>
      </c>
      <c r="P261" s="73">
        <f t="shared" si="104"/>
        <v>5079.4670957134831</v>
      </c>
      <c r="Q261" s="73">
        <f t="shared" si="104"/>
        <v>1.6519656804746121</v>
      </c>
      <c r="R261" s="73">
        <f t="shared" si="104"/>
        <v>27.64895401407281</v>
      </c>
      <c r="S261" s="73"/>
      <c r="T261" s="73">
        <f t="shared" si="105"/>
        <v>1002736.8397989228</v>
      </c>
      <c r="U261" s="61" t="str">
        <f t="shared" si="106"/>
        <v>ok</v>
      </c>
      <c r="V261" s="62" t="str">
        <f t="shared" si="107"/>
        <v/>
      </c>
    </row>
    <row r="262" spans="1:22" ht="12" customHeight="1" x14ac:dyDescent="0.2">
      <c r="A262" s="403" t="s">
        <v>1014</v>
      </c>
      <c r="C262" s="55" t="s">
        <v>1309</v>
      </c>
      <c r="D262" s="55" t="s">
        <v>2105</v>
      </c>
      <c r="E262" s="55" t="s">
        <v>1179</v>
      </c>
      <c r="F262" s="73">
        <f>VLOOKUP(C262,'Functional Assignment'!$C$1:$AU$773,23,)</f>
        <v>1435217.9020381053</v>
      </c>
      <c r="G262" s="73">
        <f t="shared" si="104"/>
        <v>1143060.791140598</v>
      </c>
      <c r="H262" s="73">
        <f t="shared" si="104"/>
        <v>223261.62387884653</v>
      </c>
      <c r="I262" s="73">
        <f t="shared" si="104"/>
        <v>1740.3649031992129</v>
      </c>
      <c r="J262" s="73">
        <f t="shared" si="104"/>
        <v>15317.930468314324</v>
      </c>
      <c r="K262" s="73">
        <f t="shared" si="104"/>
        <v>0</v>
      </c>
      <c r="L262" s="73">
        <f t="shared" si="104"/>
        <v>372.54686209108149</v>
      </c>
      <c r="M262" s="73">
        <f t="shared" si="104"/>
        <v>0</v>
      </c>
      <c r="N262" s="73">
        <f t="shared" si="104"/>
        <v>0</v>
      </c>
      <c r="O262" s="73">
        <f t="shared" si="104"/>
        <v>0</v>
      </c>
      <c r="P262" s="73">
        <f t="shared" si="104"/>
        <v>51257.674306116402</v>
      </c>
      <c r="Q262" s="73">
        <f t="shared" si="104"/>
        <v>3.3236135304151642</v>
      </c>
      <c r="R262" s="73">
        <f t="shared" si="104"/>
        <v>203.64686540907454</v>
      </c>
      <c r="S262" s="73"/>
      <c r="T262" s="73">
        <f t="shared" si="105"/>
        <v>1435217.9020381053</v>
      </c>
      <c r="U262" s="61" t="str">
        <f t="shared" si="106"/>
        <v>ok</v>
      </c>
      <c r="V262" s="62" t="str">
        <f t="shared" si="107"/>
        <v/>
      </c>
    </row>
    <row r="263" spans="1:22" ht="12" customHeight="1" x14ac:dyDescent="0.2">
      <c r="A263" s="55" t="s">
        <v>180</v>
      </c>
      <c r="D263" s="55" t="s">
        <v>2106</v>
      </c>
      <c r="F263" s="404">
        <f>SUM(F258:F262)</f>
        <v>16253031.612246852</v>
      </c>
      <c r="G263" s="404">
        <f t="shared" ref="G263:R263" si="108">SUM(G258:G262)</f>
        <v>10871825.225098446</v>
      </c>
      <c r="H263" s="404">
        <f t="shared" si="108"/>
        <v>2434903.6815491118</v>
      </c>
      <c r="I263" s="404">
        <f>SUM(I258:I262)</f>
        <v>95172.707401107982</v>
      </c>
      <c r="J263" s="404">
        <f t="shared" si="108"/>
        <v>1095420.2854624107</v>
      </c>
      <c r="K263" s="404">
        <f t="shared" si="108"/>
        <v>221577.78631694216</v>
      </c>
      <c r="L263" s="404">
        <f t="shared" si="108"/>
        <v>149816.80826879459</v>
      </c>
      <c r="M263" s="404">
        <f t="shared" si="108"/>
        <v>992348.50765298912</v>
      </c>
      <c r="N263" s="404">
        <f>SUM(N258:N262)</f>
        <v>0</v>
      </c>
      <c r="O263" s="404">
        <f t="shared" si="108"/>
        <v>0</v>
      </c>
      <c r="P263" s="404">
        <f t="shared" si="108"/>
        <v>390327.25514600438</v>
      </c>
      <c r="Q263" s="404">
        <f t="shared" si="108"/>
        <v>38.032674956935878</v>
      </c>
      <c r="R263" s="404">
        <f t="shared" si="108"/>
        <v>1601.3226760868627</v>
      </c>
      <c r="S263" s="404"/>
      <c r="T263" s="62">
        <f t="shared" si="105"/>
        <v>16253031.612246851</v>
      </c>
      <c r="U263" s="61" t="str">
        <f t="shared" si="106"/>
        <v>ok</v>
      </c>
      <c r="V263" s="62" t="str">
        <f t="shared" si="107"/>
        <v/>
      </c>
    </row>
    <row r="264" spans="1:22" ht="12" customHeight="1" x14ac:dyDescent="0.2">
      <c r="F264" s="73"/>
    </row>
    <row r="265" spans="1:22" ht="12" customHeight="1" x14ac:dyDescent="0.2">
      <c r="A265" s="171" t="s">
        <v>1009</v>
      </c>
      <c r="F265" s="73"/>
    </row>
    <row r="266" spans="1:22" ht="12" customHeight="1" x14ac:dyDescent="0.2">
      <c r="A266" s="403" t="s">
        <v>501</v>
      </c>
      <c r="C266" s="55" t="s">
        <v>1309</v>
      </c>
      <c r="D266" s="55" t="s">
        <v>2107</v>
      </c>
      <c r="E266" s="55" t="s">
        <v>909</v>
      </c>
      <c r="F266" s="404">
        <f>VLOOKUP(C266,'Functional Assignment'!$C$1:$AU$773,24,)</f>
        <v>3529371.5149013679</v>
      </c>
      <c r="G266" s="404">
        <f t="shared" ref="G266:R267" si="109">IF(VLOOKUP($E266,$D$5:$AH$1237,3,)=0,0,(VLOOKUP($E266,$D$5:$AH$1237,G$1,)/VLOOKUP($E266,$D$5:$AH$1237,3,))*$F266)</f>
        <v>2417380.1972313924</v>
      </c>
      <c r="H266" s="404">
        <f t="shared" si="109"/>
        <v>561746.47691091301</v>
      </c>
      <c r="I266" s="404">
        <f t="shared" si="109"/>
        <v>32982.984214590426</v>
      </c>
      <c r="J266" s="404">
        <f t="shared" si="109"/>
        <v>433716.64235949132</v>
      </c>
      <c r="K266" s="404">
        <f t="shared" si="109"/>
        <v>0</v>
      </c>
      <c r="L266" s="404">
        <f t="shared" si="109"/>
        <v>65563.686435949377</v>
      </c>
      <c r="M266" s="404">
        <f t="shared" si="109"/>
        <v>0</v>
      </c>
      <c r="N266" s="404">
        <f t="shared" si="109"/>
        <v>0</v>
      </c>
      <c r="O266" s="404">
        <f t="shared" si="109"/>
        <v>0</v>
      </c>
      <c r="P266" s="404">
        <f t="shared" si="109"/>
        <v>17878.396172304678</v>
      </c>
      <c r="Q266" s="404">
        <f t="shared" si="109"/>
        <v>5.8144872960196743</v>
      </c>
      <c r="R266" s="404">
        <f t="shared" si="109"/>
        <v>97.317089430617386</v>
      </c>
      <c r="S266" s="404"/>
      <c r="T266" s="62">
        <f>SUM(G266:R266)</f>
        <v>3529371.5149013679</v>
      </c>
      <c r="U266" s="61" t="str">
        <f>IF(ABS(F266-T266)&lt;0.01,"ok","err")</f>
        <v>ok</v>
      </c>
      <c r="V266" s="62" t="str">
        <f>IF(U266="err",T266-F266,"")</f>
        <v/>
      </c>
    </row>
    <row r="267" spans="1:22" ht="12" customHeight="1" x14ac:dyDescent="0.2">
      <c r="A267" s="403" t="s">
        <v>504</v>
      </c>
      <c r="C267" s="55" t="s">
        <v>1309</v>
      </c>
      <c r="D267" s="55" t="s">
        <v>2108</v>
      </c>
      <c r="E267" s="55" t="s">
        <v>1179</v>
      </c>
      <c r="F267" s="73">
        <f>VLOOKUP(C267,'Functional Assignment'!$C$1:$AU$773,25,)</f>
        <v>3019842.6526647257</v>
      </c>
      <c r="G267" s="73">
        <f t="shared" si="109"/>
        <v>2405114.7402587347</v>
      </c>
      <c r="H267" s="73">
        <f t="shared" si="109"/>
        <v>469764.88624835288</v>
      </c>
      <c r="I267" s="73">
        <f t="shared" si="109"/>
        <v>3661.9025991930262</v>
      </c>
      <c r="J267" s="73">
        <f t="shared" si="109"/>
        <v>32230.464595709869</v>
      </c>
      <c r="K267" s="73">
        <f t="shared" si="109"/>
        <v>0</v>
      </c>
      <c r="L267" s="73">
        <f t="shared" si="109"/>
        <v>783.87602513975708</v>
      </c>
      <c r="M267" s="73">
        <f t="shared" si="109"/>
        <v>0</v>
      </c>
      <c r="N267" s="73">
        <f t="shared" si="109"/>
        <v>0</v>
      </c>
      <c r="O267" s="73">
        <f t="shared" si="109"/>
        <v>0</v>
      </c>
      <c r="P267" s="73">
        <f t="shared" si="109"/>
        <v>107851.29625696197</v>
      </c>
      <c r="Q267" s="73">
        <f t="shared" si="109"/>
        <v>6.9932167692922382</v>
      </c>
      <c r="R267" s="73">
        <f t="shared" si="109"/>
        <v>428.49346386390613</v>
      </c>
      <c r="S267" s="73"/>
      <c r="T267" s="73">
        <f>SUM(G267:R267)</f>
        <v>3019842.6526647257</v>
      </c>
      <c r="U267" s="61" t="str">
        <f>IF(ABS(F267-T267)&lt;0.01,"ok","err")</f>
        <v>ok</v>
      </c>
      <c r="V267" s="62" t="str">
        <f>IF(U267="err",T267-F267,"")</f>
        <v/>
      </c>
    </row>
    <row r="268" spans="1:22" ht="12" customHeight="1" x14ac:dyDescent="0.2">
      <c r="A268" s="55" t="s">
        <v>1890</v>
      </c>
      <c r="D268" s="55" t="s">
        <v>2109</v>
      </c>
      <c r="F268" s="404">
        <f t="shared" ref="F268:R268" si="110">F266+F267</f>
        <v>6549214.1675660936</v>
      </c>
      <c r="G268" s="404">
        <f t="shared" si="110"/>
        <v>4822494.937490127</v>
      </c>
      <c r="H268" s="404">
        <f t="shared" si="110"/>
        <v>1031511.3631592658</v>
      </c>
      <c r="I268" s="404">
        <f>I266+I267</f>
        <v>36644.886813783451</v>
      </c>
      <c r="J268" s="404">
        <f t="shared" si="110"/>
        <v>465947.10695520119</v>
      </c>
      <c r="K268" s="404">
        <f t="shared" si="110"/>
        <v>0</v>
      </c>
      <c r="L268" s="404">
        <f t="shared" si="110"/>
        <v>66347.562461089139</v>
      </c>
      <c r="M268" s="404">
        <f t="shared" si="110"/>
        <v>0</v>
      </c>
      <c r="N268" s="404">
        <f>N266+N267</f>
        <v>0</v>
      </c>
      <c r="O268" s="404">
        <f t="shared" si="110"/>
        <v>0</v>
      </c>
      <c r="P268" s="404">
        <f t="shared" si="110"/>
        <v>125729.69242926665</v>
      </c>
      <c r="Q268" s="404">
        <f t="shared" si="110"/>
        <v>12.807704065311913</v>
      </c>
      <c r="R268" s="404">
        <f t="shared" si="110"/>
        <v>525.81055329452352</v>
      </c>
      <c r="S268" s="404"/>
      <c r="T268" s="62">
        <f>SUM(G268:R268)</f>
        <v>6549214.1675660936</v>
      </c>
      <c r="U268" s="61" t="str">
        <f>IF(ABS(F268-T268)&lt;0.01,"ok","err")</f>
        <v>ok</v>
      </c>
      <c r="V268" s="62" t="str">
        <f>IF(U268="err",T268-F268,"")</f>
        <v/>
      </c>
    </row>
    <row r="269" spans="1:22" ht="12" customHeight="1" x14ac:dyDescent="0.2">
      <c r="F269" s="73"/>
    </row>
    <row r="270" spans="1:22" ht="12" customHeight="1" x14ac:dyDescent="0.2">
      <c r="A270" s="171" t="s">
        <v>148</v>
      </c>
      <c r="F270" s="73"/>
    </row>
    <row r="271" spans="1:22" ht="12" customHeight="1" x14ac:dyDescent="0.2">
      <c r="A271" s="403" t="s">
        <v>504</v>
      </c>
      <c r="C271" s="55" t="s">
        <v>1309</v>
      </c>
      <c r="D271" s="55" t="s">
        <v>2110</v>
      </c>
      <c r="E271" s="55" t="s">
        <v>505</v>
      </c>
      <c r="F271" s="404">
        <f>VLOOKUP(C271,'Functional Assignment'!$C$1:$AU$773,26,)</f>
        <v>2024396.1370020213</v>
      </c>
      <c r="G271" s="404">
        <f t="shared" ref="G271:R271" si="111">IF(VLOOKUP($E271,$D$5:$AH$1237,3,)=0,0,(VLOOKUP($E271,$D$5:$AH$1237,G$1,)/VLOOKUP($E271,$D$5:$AH$1237,3,))*$F271)</f>
        <v>1192329.1073062709</v>
      </c>
      <c r="H271" s="404">
        <f t="shared" si="111"/>
        <v>782513.95172576071</v>
      </c>
      <c r="I271" s="404">
        <f t="shared" si="111"/>
        <v>3735.0493266015396</v>
      </c>
      <c r="J271" s="404">
        <f t="shared" si="111"/>
        <v>42946.520223013038</v>
      </c>
      <c r="K271" s="404">
        <f t="shared" si="111"/>
        <v>0</v>
      </c>
      <c r="L271" s="404">
        <f t="shared" si="111"/>
        <v>795.80366678757525</v>
      </c>
      <c r="M271" s="404">
        <f t="shared" si="111"/>
        <v>0</v>
      </c>
      <c r="N271" s="404">
        <f t="shared" si="111"/>
        <v>0</v>
      </c>
      <c r="O271" s="404">
        <f t="shared" si="111"/>
        <v>0</v>
      </c>
      <c r="P271" s="404">
        <f t="shared" si="111"/>
        <v>0</v>
      </c>
      <c r="Q271" s="404">
        <f t="shared" si="111"/>
        <v>31.234955252342157</v>
      </c>
      <c r="R271" s="404">
        <f t="shared" si="111"/>
        <v>2044.4697983351234</v>
      </c>
      <c r="S271" s="404"/>
      <c r="T271" s="62">
        <f>SUM(G271:R271)</f>
        <v>2024396.1370020213</v>
      </c>
      <c r="U271" s="61" t="str">
        <f>IF(ABS(F271-T271)&lt;0.01,"ok","err")</f>
        <v>ok</v>
      </c>
      <c r="V271" s="62" t="str">
        <f>IF(U271="err",T271-F271,"")</f>
        <v/>
      </c>
    </row>
    <row r="272" spans="1:22" ht="12" customHeight="1" x14ac:dyDescent="0.2">
      <c r="F272" s="73"/>
    </row>
    <row r="273" spans="1:22" ht="12" customHeight="1" x14ac:dyDescent="0.2">
      <c r="A273" s="171" t="s">
        <v>147</v>
      </c>
      <c r="F273" s="73"/>
    </row>
    <row r="274" spans="1:22" ht="12" customHeight="1" x14ac:dyDescent="0.2">
      <c r="A274" s="403" t="s">
        <v>504</v>
      </c>
      <c r="C274" s="55" t="s">
        <v>1309</v>
      </c>
      <c r="D274" s="55" t="s">
        <v>2111</v>
      </c>
      <c r="E274" s="55" t="s">
        <v>506</v>
      </c>
      <c r="F274" s="404">
        <f>VLOOKUP(C274,'Functional Assignment'!$C$1:$AU$773,27,)</f>
        <v>1604273.2289899876</v>
      </c>
      <c r="G274" s="404">
        <f t="shared" ref="G274:R274" si="112">IF(VLOOKUP($E274,$D$5:$AH$1237,3,)=0,0,(VLOOKUP($E274,$D$5:$AH$1237,G$1,)/VLOOKUP($E274,$D$5:$AH$1237,3,))*$F274)</f>
        <v>1006707.6533309893</v>
      </c>
      <c r="H274" s="404">
        <f t="shared" si="112"/>
        <v>367025.84707619803</v>
      </c>
      <c r="I274" s="404">
        <f t="shared" si="112"/>
        <v>8577.3258828424114</v>
      </c>
      <c r="J274" s="404">
        <f t="shared" si="112"/>
        <v>107697.65942854724</v>
      </c>
      <c r="K274" s="404">
        <f t="shared" si="112"/>
        <v>39527.600920210178</v>
      </c>
      <c r="L274" s="404">
        <f t="shared" si="112"/>
        <v>4049.5186104628724</v>
      </c>
      <c r="M274" s="404">
        <f t="shared" si="112"/>
        <v>28601.816547286369</v>
      </c>
      <c r="N274" s="404">
        <f t="shared" si="112"/>
        <v>38903.931220767641</v>
      </c>
      <c r="O274" s="404">
        <f t="shared" si="112"/>
        <v>1429.316340710496</v>
      </c>
      <c r="P274" s="404">
        <f t="shared" si="112"/>
        <v>0</v>
      </c>
      <c r="Q274" s="404">
        <f t="shared" si="112"/>
        <v>26.372306363486917</v>
      </c>
      <c r="R274" s="404">
        <f t="shared" si="112"/>
        <v>1726.1873256100525</v>
      </c>
      <c r="S274" s="404"/>
      <c r="T274" s="62">
        <f>SUM(G274:R274)</f>
        <v>1604273.2289899876</v>
      </c>
      <c r="U274" s="61" t="str">
        <f>IF(ABS(F274-T274)&lt;0.01,"ok","err")</f>
        <v>ok</v>
      </c>
      <c r="V274" s="62" t="str">
        <f>IF(U274="err",T274-F274,"")</f>
        <v/>
      </c>
    </row>
    <row r="275" spans="1:22" ht="12" customHeight="1" x14ac:dyDescent="0.2">
      <c r="F275" s="73"/>
    </row>
    <row r="276" spans="1:22" ht="12" customHeight="1" x14ac:dyDescent="0.2">
      <c r="A276" s="171" t="s">
        <v>173</v>
      </c>
      <c r="F276" s="73"/>
    </row>
    <row r="277" spans="1:22" ht="12" customHeight="1" x14ac:dyDescent="0.2">
      <c r="A277" s="403" t="s">
        <v>504</v>
      </c>
      <c r="C277" s="55" t="s">
        <v>1309</v>
      </c>
      <c r="D277" s="55" t="s">
        <v>2112</v>
      </c>
      <c r="E277" s="55" t="s">
        <v>507</v>
      </c>
      <c r="F277" s="404">
        <f>VLOOKUP(C277,'Functional Assignment'!$C$1:$AU$773,28,)</f>
        <v>2356236.55327335</v>
      </c>
      <c r="G277" s="404">
        <f t="shared" ref="G277:R277" si="113">IF(VLOOKUP($E277,$D$5:$AH$1237,3,)=0,0,(VLOOKUP($E277,$D$5:$AH$1237,G$1,)/VLOOKUP($E277,$D$5:$AH$1237,3,))*$F277)</f>
        <v>0</v>
      </c>
      <c r="H277" s="404">
        <f t="shared" si="113"/>
        <v>0</v>
      </c>
      <c r="I277" s="404">
        <f t="shared" si="113"/>
        <v>0</v>
      </c>
      <c r="J277" s="404">
        <f t="shared" si="113"/>
        <v>0</v>
      </c>
      <c r="K277" s="404">
        <f t="shared" si="113"/>
        <v>0</v>
      </c>
      <c r="L277" s="404">
        <f t="shared" si="113"/>
        <v>0</v>
      </c>
      <c r="M277" s="404">
        <f t="shared" si="113"/>
        <v>0</v>
      </c>
      <c r="N277" s="404">
        <f t="shared" si="113"/>
        <v>0</v>
      </c>
      <c r="O277" s="404">
        <f t="shared" si="113"/>
        <v>0</v>
      </c>
      <c r="P277" s="404">
        <f t="shared" si="113"/>
        <v>2356236.55327335</v>
      </c>
      <c r="Q277" s="404">
        <f t="shared" si="113"/>
        <v>0</v>
      </c>
      <c r="R277" s="404">
        <f t="shared" si="113"/>
        <v>0</v>
      </c>
      <c r="S277" s="404"/>
      <c r="T277" s="62">
        <f>SUM(G277:R277)</f>
        <v>2356236.55327335</v>
      </c>
      <c r="U277" s="61" t="str">
        <f>IF(ABS(F277-T277)&lt;0.01,"ok","err")</f>
        <v>ok</v>
      </c>
      <c r="V277" s="62" t="str">
        <f>IF(U277="err",T277-F277,"")</f>
        <v/>
      </c>
    </row>
    <row r="278" spans="1:22" ht="12" customHeight="1" x14ac:dyDescent="0.2">
      <c r="F278" s="73"/>
    </row>
    <row r="279" spans="1:22" ht="12" customHeight="1" x14ac:dyDescent="0.2">
      <c r="A279" s="171" t="s">
        <v>381</v>
      </c>
      <c r="F279" s="73"/>
    </row>
    <row r="280" spans="1:22" ht="12" customHeight="1" x14ac:dyDescent="0.2">
      <c r="A280" s="403" t="s">
        <v>504</v>
      </c>
      <c r="C280" s="55" t="s">
        <v>1309</v>
      </c>
      <c r="D280" s="55" t="s">
        <v>2113</v>
      </c>
      <c r="E280" s="55" t="s">
        <v>508</v>
      </c>
      <c r="F280" s="404">
        <f>VLOOKUP(C280,'Functional Assignment'!$C$1:$AU$773,30,)</f>
        <v>18983952.501264896</v>
      </c>
      <c r="G280" s="404">
        <f t="shared" ref="G280:R280" si="114">IF(VLOOKUP($E280,$D$5:$AH$1237,3,)=0,0,(VLOOKUP($E280,$D$5:$AH$1237,G$1,)/VLOOKUP($E280,$D$5:$AH$1237,3,))*$F280)</f>
        <v>12317041.739728985</v>
      </c>
      <c r="H280" s="404">
        <f t="shared" si="114"/>
        <v>4811507.4220180856</v>
      </c>
      <c r="I280" s="404">
        <f t="shared" si="114"/>
        <v>187532.87070300203</v>
      </c>
      <c r="J280" s="404">
        <f t="shared" si="114"/>
        <v>825291.14114844566</v>
      </c>
      <c r="K280" s="404">
        <f t="shared" si="114"/>
        <v>43513.486405305943</v>
      </c>
      <c r="L280" s="404">
        <f t="shared" si="114"/>
        <v>100359.38783715344</v>
      </c>
      <c r="M280" s="404">
        <f t="shared" si="114"/>
        <v>121603.34584647788</v>
      </c>
      <c r="N280" s="404">
        <f t="shared" si="114"/>
        <v>21097.447954087729</v>
      </c>
      <c r="O280" s="404">
        <f t="shared" si="114"/>
        <v>1465.1005523672034</v>
      </c>
      <c r="P280" s="404">
        <f t="shared" si="114"/>
        <v>552313.60623138829</v>
      </c>
      <c r="Q280" s="404">
        <f t="shared" si="114"/>
        <v>29.30201104734407</v>
      </c>
      <c r="R280" s="404">
        <f t="shared" si="114"/>
        <v>2197.6508285508053</v>
      </c>
      <c r="S280" s="404"/>
      <c r="T280" s="62">
        <f>SUM(G280:R280)</f>
        <v>18983952.501264896</v>
      </c>
      <c r="U280" s="61" t="str">
        <f>IF(ABS(F280-T280)&lt;0.01,"ok","err")</f>
        <v>ok</v>
      </c>
      <c r="V280" s="62" t="str">
        <f>IF(U280="err",T280-F280,"")</f>
        <v/>
      </c>
    </row>
    <row r="281" spans="1:22" ht="12" customHeight="1" x14ac:dyDescent="0.2">
      <c r="F281" s="73"/>
    </row>
    <row r="282" spans="1:22" ht="12" customHeight="1" x14ac:dyDescent="0.2">
      <c r="A282" s="171" t="s">
        <v>2090</v>
      </c>
      <c r="F282" s="73"/>
    </row>
    <row r="283" spans="1:22" ht="12" customHeight="1" x14ac:dyDescent="0.2">
      <c r="A283" s="403" t="s">
        <v>504</v>
      </c>
      <c r="C283" s="55" t="s">
        <v>1309</v>
      </c>
      <c r="D283" s="55" t="s">
        <v>2114</v>
      </c>
      <c r="E283" s="55" t="s">
        <v>508</v>
      </c>
      <c r="F283" s="404">
        <f>VLOOKUP(C283,'Functional Assignment'!$C$1:$AU$773,32,)</f>
        <v>2463023.5088876593</v>
      </c>
      <c r="G283" s="404">
        <f t="shared" ref="G283:R283" si="115">IF(VLOOKUP($E283,$D$5:$AH$1237,3,)=0,0,(VLOOKUP($E283,$D$5:$AH$1237,G$1,)/VLOOKUP($E283,$D$5:$AH$1237,3,))*$F283)</f>
        <v>1598042.5236989865</v>
      </c>
      <c r="H283" s="404">
        <f t="shared" si="115"/>
        <v>624256.50784937339</v>
      </c>
      <c r="I283" s="404">
        <f t="shared" si="115"/>
        <v>24330.964228861594</v>
      </c>
      <c r="J283" s="404">
        <f t="shared" si="115"/>
        <v>107075.25117279481</v>
      </c>
      <c r="K283" s="404">
        <f t="shared" si="115"/>
        <v>5645.5440437280422</v>
      </c>
      <c r="L283" s="404">
        <f t="shared" si="115"/>
        <v>13020.867575601713</v>
      </c>
      <c r="M283" s="404">
        <f t="shared" si="115"/>
        <v>15777.10961715244</v>
      </c>
      <c r="N283" s="404">
        <f t="shared" si="115"/>
        <v>2737.2334757469298</v>
      </c>
      <c r="O283" s="404">
        <f t="shared" si="115"/>
        <v>190.0856580379812</v>
      </c>
      <c r="P283" s="404">
        <f t="shared" si="115"/>
        <v>71658.49136715816</v>
      </c>
      <c r="Q283" s="404">
        <f t="shared" si="115"/>
        <v>3.8017131607596242</v>
      </c>
      <c r="R283" s="404">
        <f t="shared" si="115"/>
        <v>285.12848705697184</v>
      </c>
      <c r="S283" s="404"/>
      <c r="T283" s="62">
        <f>SUM(G283:R283)</f>
        <v>2463023.5088876593</v>
      </c>
      <c r="U283" s="61" t="str">
        <f>IF(ABS(F283-T283)&lt;0.01,"ok","err")</f>
        <v>ok</v>
      </c>
      <c r="V283" s="62" t="str">
        <f>IF(U283="err",T283-F283,"")</f>
        <v/>
      </c>
    </row>
    <row r="284" spans="1:22" ht="12" customHeight="1" x14ac:dyDescent="0.2">
      <c r="F284" s="73"/>
    </row>
    <row r="285" spans="1:22" ht="12" customHeight="1" x14ac:dyDescent="0.2">
      <c r="A285" s="171" t="s">
        <v>2089</v>
      </c>
      <c r="F285" s="73"/>
    </row>
    <row r="286" spans="1:22" ht="12" customHeight="1" x14ac:dyDescent="0.2">
      <c r="A286" s="403" t="s">
        <v>504</v>
      </c>
      <c r="C286" s="55" t="s">
        <v>1309</v>
      </c>
      <c r="D286" s="55" t="s">
        <v>2115</v>
      </c>
      <c r="E286" s="55" t="s">
        <v>509</v>
      </c>
      <c r="F286" s="404">
        <f>VLOOKUP(C286,'Functional Assignment'!$C$1:$AU$773,34,)</f>
        <v>0</v>
      </c>
      <c r="G286" s="404">
        <f t="shared" ref="G286:R286" si="116">IF(VLOOKUP($E286,$D$5:$AH$1237,3,)=0,0,(VLOOKUP($E286,$D$5:$AH$1237,G$1,)/VLOOKUP($E286,$D$5:$AH$1237,3,))*$F286)</f>
        <v>0</v>
      </c>
      <c r="H286" s="404">
        <f t="shared" si="116"/>
        <v>0</v>
      </c>
      <c r="I286" s="404">
        <f t="shared" si="116"/>
        <v>0</v>
      </c>
      <c r="J286" s="404">
        <f t="shared" si="116"/>
        <v>0</v>
      </c>
      <c r="K286" s="404">
        <f t="shared" si="116"/>
        <v>0</v>
      </c>
      <c r="L286" s="404">
        <f t="shared" si="116"/>
        <v>0</v>
      </c>
      <c r="M286" s="404">
        <f t="shared" si="116"/>
        <v>0</v>
      </c>
      <c r="N286" s="404">
        <f t="shared" si="116"/>
        <v>0</v>
      </c>
      <c r="O286" s="404">
        <f t="shared" si="116"/>
        <v>0</v>
      </c>
      <c r="P286" s="404">
        <f t="shared" si="116"/>
        <v>0</v>
      </c>
      <c r="Q286" s="404">
        <f t="shared" si="116"/>
        <v>0</v>
      </c>
      <c r="R286" s="404">
        <f t="shared" si="116"/>
        <v>0</v>
      </c>
      <c r="S286" s="404"/>
      <c r="T286" s="62">
        <f>SUM(G286:R286)</f>
        <v>0</v>
      </c>
      <c r="U286" s="61" t="str">
        <f>IF(ABS(F286-T286)&lt;0.01,"ok","err")</f>
        <v>ok</v>
      </c>
      <c r="V286" s="62" t="str">
        <f>IF(U286="err",T286-F286,"")</f>
        <v/>
      </c>
    </row>
    <row r="287" spans="1:22" ht="12" customHeight="1" x14ac:dyDescent="0.2">
      <c r="F287" s="73"/>
    </row>
    <row r="288" spans="1:22" ht="12" customHeight="1" x14ac:dyDescent="0.2">
      <c r="A288" s="55" t="s">
        <v>82</v>
      </c>
      <c r="D288" s="55" t="s">
        <v>518</v>
      </c>
      <c r="F288" s="404">
        <f>F243+F249+F252+F255+F263+F268+F271+F274+F277+F280+F283+F286</f>
        <v>135498603.05840206</v>
      </c>
      <c r="G288" s="404">
        <f t="shared" ref="G288:R288" si="117">G243+G249+G252+G255+G263+G268+G271+G274+G277+G280+G283+G286</f>
        <v>63743292.981815882</v>
      </c>
      <c r="H288" s="404">
        <f t="shared" si="117"/>
        <v>19795917.91229374</v>
      </c>
      <c r="I288" s="404">
        <f>I243+I249+I252+I255+I263+I268+I271+I274+I277+I280+I283+I286</f>
        <v>1086335.9200871983</v>
      </c>
      <c r="J288" s="404">
        <f t="shared" si="117"/>
        <v>16269143.030372147</v>
      </c>
      <c r="K288" s="404">
        <f t="shared" si="117"/>
        <v>3441760.35136138</v>
      </c>
      <c r="L288" s="404">
        <f t="shared" si="117"/>
        <v>2414221.632862688</v>
      </c>
      <c r="M288" s="404">
        <f>M243+M249+M252+M255+M263+M268+M271+M274+M277+M280+M283+M286</f>
        <v>16623042.523148775</v>
      </c>
      <c r="N288" s="404">
        <f>N243+N249+N252+N255+N263+N268+N271+N274+N277+N280+N283+N286</f>
        <v>6316072.6462646984</v>
      </c>
      <c r="O288" s="404">
        <f t="shared" si="117"/>
        <v>1930995.5857356773</v>
      </c>
      <c r="P288" s="404">
        <f t="shared" si="117"/>
        <v>3864640.0834517553</v>
      </c>
      <c r="Q288" s="404">
        <f t="shared" si="117"/>
        <v>261.27425198293042</v>
      </c>
      <c r="R288" s="404">
        <f t="shared" si="117"/>
        <v>12919.116756130599</v>
      </c>
      <c r="S288" s="404"/>
      <c r="T288" s="62">
        <f>SUM(G288:R288)</f>
        <v>135498603.05840209</v>
      </c>
      <c r="U288" s="61" t="str">
        <f>IF(ABS(F288-T288)&lt;0.01,"ok","err")</f>
        <v>ok</v>
      </c>
      <c r="V288" s="62" t="str">
        <f>IF(U288="err",T288-F288,"")</f>
        <v/>
      </c>
    </row>
    <row r="291" spans="1:22" ht="12" customHeight="1" x14ac:dyDescent="0.2">
      <c r="A291" s="402" t="s">
        <v>1040</v>
      </c>
    </row>
    <row r="293" spans="1:22" ht="12" customHeight="1" x14ac:dyDescent="0.2">
      <c r="A293" s="171" t="s">
        <v>166</v>
      </c>
    </row>
    <row r="294" spans="1:22" ht="12" customHeight="1" x14ac:dyDescent="0.2">
      <c r="A294" s="403" t="s">
        <v>153</v>
      </c>
      <c r="C294" s="55" t="s">
        <v>1042</v>
      </c>
      <c r="D294" s="55" t="s">
        <v>2116</v>
      </c>
      <c r="E294" s="55" t="s">
        <v>2831</v>
      </c>
      <c r="F294" s="404">
        <f>VLOOKUP(C294,'Functional Assignment'!$C$1:$AU$773,6,)</f>
        <v>41725938.972414523</v>
      </c>
      <c r="G294" s="404">
        <f t="shared" ref="G294:R299" si="118">IF(VLOOKUP($E294,$D$5:$AH$1237,3,)=0,0,(VLOOKUP($E294,$D$5:$AH$1237,G$1,)/VLOOKUP($E294,$D$5:$AH$1237,3,))*$F294)</f>
        <v>13941353.939506885</v>
      </c>
      <c r="H294" s="404">
        <f t="shared" si="118"/>
        <v>4399741.6997449277</v>
      </c>
      <c r="I294" s="404">
        <f t="shared" si="118"/>
        <v>366415.74912947946</v>
      </c>
      <c r="J294" s="404">
        <f t="shared" si="118"/>
        <v>7162117.7937130639</v>
      </c>
      <c r="K294" s="404">
        <f t="shared" si="118"/>
        <v>1527361.2199884627</v>
      </c>
      <c r="L294" s="404">
        <f t="shared" si="118"/>
        <v>1157656.4421395226</v>
      </c>
      <c r="M294" s="404">
        <f t="shared" si="118"/>
        <v>8343285.9385344489</v>
      </c>
      <c r="N294" s="404">
        <f t="shared" si="118"/>
        <v>3423192.0304203304</v>
      </c>
      <c r="O294" s="404">
        <f t="shared" si="118"/>
        <v>1112578.0889302497</v>
      </c>
      <c r="P294" s="404">
        <f t="shared" si="118"/>
        <v>289373.32639216405</v>
      </c>
      <c r="Q294" s="404">
        <f t="shared" si="118"/>
        <v>94.099038870748203</v>
      </c>
      <c r="R294" s="404">
        <f t="shared" si="118"/>
        <v>2768.64487611598</v>
      </c>
      <c r="S294" s="404"/>
      <c r="T294" s="62">
        <f t="shared" ref="T294:T300" si="119">SUM(G294:R294)</f>
        <v>41725938.972414516</v>
      </c>
      <c r="U294" s="61" t="str">
        <f t="shared" ref="U294:U300" si="120">IF(ABS(F294-T294)&lt;0.01,"ok","err")</f>
        <v>ok</v>
      </c>
      <c r="V294" s="405" t="str">
        <f t="shared" ref="V294:V300" si="121">IF(U294="err",T294-F294,"")</f>
        <v/>
      </c>
    </row>
    <row r="295" spans="1:22" ht="12" customHeight="1" x14ac:dyDescent="0.2">
      <c r="A295" s="403" t="s">
        <v>157</v>
      </c>
      <c r="C295" s="55" t="s">
        <v>1042</v>
      </c>
      <c r="D295" s="55" t="s">
        <v>2117</v>
      </c>
      <c r="E295" s="55" t="s">
        <v>59</v>
      </c>
      <c r="F295" s="73">
        <f>VLOOKUP(C295,'Functional Assignment'!$C$1:$AU$773,7,)</f>
        <v>39334114.210517809</v>
      </c>
      <c r="G295" s="73">
        <f t="shared" si="118"/>
        <v>17963784.072393287</v>
      </c>
      <c r="H295" s="73">
        <f t="shared" si="118"/>
        <v>4960971.586876967</v>
      </c>
      <c r="I295" s="73">
        <f t="shared" si="118"/>
        <v>334461.01570182166</v>
      </c>
      <c r="J295" s="73">
        <f t="shared" si="118"/>
        <v>4984631.0224828254</v>
      </c>
      <c r="K295" s="73">
        <f t="shared" si="118"/>
        <v>1106862.0007736681</v>
      </c>
      <c r="L295" s="73">
        <f t="shared" si="118"/>
        <v>741333.73970126547</v>
      </c>
      <c r="M295" s="73">
        <f t="shared" si="118"/>
        <v>5944066.3762043789</v>
      </c>
      <c r="N295" s="73">
        <f t="shared" si="118"/>
        <v>2648307.9384368635</v>
      </c>
      <c r="O295" s="73">
        <f t="shared" si="118"/>
        <v>648171.69611112773</v>
      </c>
      <c r="P295" s="73">
        <f t="shared" si="118"/>
        <v>0</v>
      </c>
      <c r="Q295" s="73">
        <f t="shared" si="118"/>
        <v>0</v>
      </c>
      <c r="R295" s="73">
        <f t="shared" si="118"/>
        <v>1524.761835611748</v>
      </c>
      <c r="S295" s="73"/>
      <c r="T295" s="73">
        <f t="shared" si="119"/>
        <v>39334114.210517816</v>
      </c>
      <c r="U295" s="61" t="str">
        <f t="shared" si="120"/>
        <v>ok</v>
      </c>
      <c r="V295" s="62" t="str">
        <f t="shared" si="121"/>
        <v/>
      </c>
    </row>
    <row r="296" spans="1:22" ht="12" customHeight="1" x14ac:dyDescent="0.2">
      <c r="A296" s="403" t="s">
        <v>154</v>
      </c>
      <c r="C296" s="55" t="s">
        <v>1042</v>
      </c>
      <c r="D296" s="55" t="s">
        <v>2118</v>
      </c>
      <c r="E296" s="55" t="s">
        <v>62</v>
      </c>
      <c r="F296" s="73">
        <f>VLOOKUP(C296,'Functional Assignment'!$C$1:$AU$773,8,)</f>
        <v>40396406.833281592</v>
      </c>
      <c r="G296" s="73">
        <f t="shared" si="118"/>
        <v>16082450.671897098</v>
      </c>
      <c r="H296" s="73">
        <f t="shared" si="118"/>
        <v>4881269.4664845234</v>
      </c>
      <c r="I296" s="73">
        <f t="shared" si="118"/>
        <v>278747.54225106188</v>
      </c>
      <c r="J296" s="73">
        <f t="shared" si="118"/>
        <v>6331683.2587874141</v>
      </c>
      <c r="K296" s="73">
        <f t="shared" si="118"/>
        <v>1603191.554260914</v>
      </c>
      <c r="L296" s="73">
        <f t="shared" si="118"/>
        <v>990734.92466123495</v>
      </c>
      <c r="M296" s="73">
        <f t="shared" si="118"/>
        <v>6590672.7466600752</v>
      </c>
      <c r="N296" s="73">
        <f t="shared" si="118"/>
        <v>2775961.1225524289</v>
      </c>
      <c r="O296" s="73">
        <f t="shared" si="118"/>
        <v>860163.9571103882</v>
      </c>
      <c r="P296" s="73">
        <f t="shared" si="118"/>
        <v>0</v>
      </c>
      <c r="Q296" s="73">
        <f t="shared" si="118"/>
        <v>0</v>
      </c>
      <c r="R296" s="73">
        <f t="shared" si="118"/>
        <v>1531.5886164632418</v>
      </c>
      <c r="S296" s="73"/>
      <c r="T296" s="73">
        <f t="shared" si="119"/>
        <v>40396406.833281599</v>
      </c>
      <c r="U296" s="61" t="str">
        <f t="shared" si="120"/>
        <v>ok</v>
      </c>
      <c r="V296" s="62" t="str">
        <f t="shared" si="121"/>
        <v/>
      </c>
    </row>
    <row r="297" spans="1:22" ht="12" customHeight="1" x14ac:dyDescent="0.2">
      <c r="A297" s="403" t="s">
        <v>155</v>
      </c>
      <c r="C297" s="55" t="s">
        <v>1042</v>
      </c>
      <c r="D297" s="55" t="s">
        <v>2119</v>
      </c>
      <c r="E297" s="55" t="s">
        <v>502</v>
      </c>
      <c r="F297" s="73">
        <f>VLOOKUP(C297,'Functional Assignment'!$C$1:$AU$773,9,)</f>
        <v>0</v>
      </c>
      <c r="G297" s="73">
        <f t="shared" si="118"/>
        <v>0</v>
      </c>
      <c r="H297" s="73">
        <f t="shared" si="118"/>
        <v>0</v>
      </c>
      <c r="I297" s="73">
        <f t="shared" si="118"/>
        <v>0</v>
      </c>
      <c r="J297" s="73">
        <f t="shared" si="118"/>
        <v>0</v>
      </c>
      <c r="K297" s="73">
        <f t="shared" si="118"/>
        <v>0</v>
      </c>
      <c r="L297" s="73">
        <f t="shared" si="118"/>
        <v>0</v>
      </c>
      <c r="M297" s="73">
        <f t="shared" si="118"/>
        <v>0</v>
      </c>
      <c r="N297" s="73">
        <f t="shared" si="118"/>
        <v>0</v>
      </c>
      <c r="O297" s="73">
        <f t="shared" si="118"/>
        <v>0</v>
      </c>
      <c r="P297" s="73">
        <f t="shared" si="118"/>
        <v>0</v>
      </c>
      <c r="Q297" s="73">
        <f t="shared" si="118"/>
        <v>0</v>
      </c>
      <c r="R297" s="73">
        <f t="shared" si="118"/>
        <v>0</v>
      </c>
      <c r="S297" s="73"/>
      <c r="T297" s="73">
        <f t="shared" si="119"/>
        <v>0</v>
      </c>
      <c r="U297" s="61" t="str">
        <f t="shared" si="120"/>
        <v>ok</v>
      </c>
      <c r="V297" s="62" t="str">
        <f t="shared" si="121"/>
        <v/>
      </c>
    </row>
    <row r="298" spans="1:22" ht="12" customHeight="1" x14ac:dyDescent="0.2">
      <c r="A298" s="403" t="s">
        <v>158</v>
      </c>
      <c r="C298" s="55" t="s">
        <v>1042</v>
      </c>
      <c r="D298" s="55" t="s">
        <v>2120</v>
      </c>
      <c r="E298" s="55" t="s">
        <v>502</v>
      </c>
      <c r="F298" s="73">
        <f>VLOOKUP(C298,'Functional Assignment'!$C$1:$AU$773,10,)</f>
        <v>0</v>
      </c>
      <c r="G298" s="73">
        <f t="shared" si="118"/>
        <v>0</v>
      </c>
      <c r="H298" s="73">
        <f t="shared" si="118"/>
        <v>0</v>
      </c>
      <c r="I298" s="73">
        <f t="shared" si="118"/>
        <v>0</v>
      </c>
      <c r="J298" s="73">
        <f t="shared" si="118"/>
        <v>0</v>
      </c>
      <c r="K298" s="73">
        <f t="shared" si="118"/>
        <v>0</v>
      </c>
      <c r="L298" s="73">
        <f t="shared" si="118"/>
        <v>0</v>
      </c>
      <c r="M298" s="73">
        <f t="shared" si="118"/>
        <v>0</v>
      </c>
      <c r="N298" s="73">
        <f t="shared" si="118"/>
        <v>0</v>
      </c>
      <c r="O298" s="73">
        <f t="shared" si="118"/>
        <v>0</v>
      </c>
      <c r="P298" s="73">
        <f t="shared" si="118"/>
        <v>0</v>
      </c>
      <c r="Q298" s="73">
        <f t="shared" si="118"/>
        <v>0</v>
      </c>
      <c r="R298" s="73">
        <f t="shared" si="118"/>
        <v>0</v>
      </c>
      <c r="S298" s="73"/>
      <c r="T298" s="73">
        <f t="shared" si="119"/>
        <v>0</v>
      </c>
      <c r="U298" s="61" t="str">
        <f t="shared" si="120"/>
        <v>ok</v>
      </c>
      <c r="V298" s="62" t="str">
        <f t="shared" si="121"/>
        <v/>
      </c>
    </row>
    <row r="299" spans="1:22" ht="12" customHeight="1" x14ac:dyDescent="0.2">
      <c r="A299" s="403" t="s">
        <v>156</v>
      </c>
      <c r="C299" s="55" t="s">
        <v>1042</v>
      </c>
      <c r="D299" s="55" t="s">
        <v>2121</v>
      </c>
      <c r="E299" s="55" t="s">
        <v>502</v>
      </c>
      <c r="F299" s="73">
        <f>VLOOKUP(C299,'Functional Assignment'!$C$1:$AU$773,11,)</f>
        <v>0</v>
      </c>
      <c r="G299" s="73">
        <f t="shared" si="118"/>
        <v>0</v>
      </c>
      <c r="H299" s="73">
        <f t="shared" si="118"/>
        <v>0</v>
      </c>
      <c r="I299" s="73">
        <f t="shared" si="118"/>
        <v>0</v>
      </c>
      <c r="J299" s="73">
        <f t="shared" si="118"/>
        <v>0</v>
      </c>
      <c r="K299" s="73">
        <f t="shared" si="118"/>
        <v>0</v>
      </c>
      <c r="L299" s="73">
        <f t="shared" si="118"/>
        <v>0</v>
      </c>
      <c r="M299" s="73">
        <f t="shared" si="118"/>
        <v>0</v>
      </c>
      <c r="N299" s="73">
        <f t="shared" si="118"/>
        <v>0</v>
      </c>
      <c r="O299" s="73">
        <f t="shared" si="118"/>
        <v>0</v>
      </c>
      <c r="P299" s="73">
        <f t="shared" si="118"/>
        <v>0</v>
      </c>
      <c r="Q299" s="73">
        <f t="shared" si="118"/>
        <v>0</v>
      </c>
      <c r="R299" s="73">
        <f t="shared" si="118"/>
        <v>0</v>
      </c>
      <c r="S299" s="73"/>
      <c r="T299" s="73">
        <f t="shared" si="119"/>
        <v>0</v>
      </c>
      <c r="U299" s="61" t="str">
        <f t="shared" si="120"/>
        <v>ok</v>
      </c>
      <c r="V299" s="62" t="str">
        <f t="shared" si="121"/>
        <v/>
      </c>
    </row>
    <row r="300" spans="1:22" ht="12" customHeight="1" x14ac:dyDescent="0.2">
      <c r="A300" s="55" t="s">
        <v>189</v>
      </c>
      <c r="D300" s="55" t="s">
        <v>2122</v>
      </c>
      <c r="F300" s="404">
        <f t="shared" ref="F300:R300" si="122">SUM(F294:F299)</f>
        <v>121456460.01621392</v>
      </c>
      <c r="G300" s="404">
        <f t="shared" si="122"/>
        <v>47987588.68379727</v>
      </c>
      <c r="H300" s="404">
        <f t="shared" si="122"/>
        <v>14241982.753106419</v>
      </c>
      <c r="I300" s="404">
        <f>SUM(I294:I299)</f>
        <v>979624.30708236294</v>
      </c>
      <c r="J300" s="404">
        <f t="shared" si="122"/>
        <v>18478432.074983306</v>
      </c>
      <c r="K300" s="404">
        <f t="shared" si="122"/>
        <v>4237414.775023045</v>
      </c>
      <c r="L300" s="404">
        <f t="shared" si="122"/>
        <v>2889725.1065020231</v>
      </c>
      <c r="M300" s="404">
        <f t="shared" si="122"/>
        <v>20878025.061398905</v>
      </c>
      <c r="N300" s="404">
        <f>SUM(N294:N299)</f>
        <v>8847461.0914096218</v>
      </c>
      <c r="O300" s="404">
        <f t="shared" si="122"/>
        <v>2620913.7421517656</v>
      </c>
      <c r="P300" s="404">
        <f t="shared" si="122"/>
        <v>289373.32639216405</v>
      </c>
      <c r="Q300" s="404">
        <f t="shared" si="122"/>
        <v>94.099038870748203</v>
      </c>
      <c r="R300" s="404">
        <f t="shared" si="122"/>
        <v>5824.9953281909702</v>
      </c>
      <c r="S300" s="404"/>
      <c r="T300" s="62">
        <f t="shared" si="119"/>
        <v>121456460.01621394</v>
      </c>
      <c r="U300" s="61" t="str">
        <f t="shared" si="120"/>
        <v>ok</v>
      </c>
      <c r="V300" s="405" t="str">
        <f t="shared" si="121"/>
        <v/>
      </c>
    </row>
    <row r="301" spans="1:22" ht="12" customHeight="1" x14ac:dyDescent="0.2">
      <c r="F301" s="73"/>
      <c r="G301" s="73"/>
    </row>
    <row r="302" spans="1:22" ht="12" customHeight="1" x14ac:dyDescent="0.2">
      <c r="A302" s="171" t="s">
        <v>554</v>
      </c>
      <c r="F302" s="73"/>
      <c r="G302" s="73"/>
    </row>
    <row r="303" spans="1:22" ht="12" customHeight="1" x14ac:dyDescent="0.2">
      <c r="A303" s="403" t="s">
        <v>159</v>
      </c>
      <c r="C303" s="55" t="s">
        <v>1042</v>
      </c>
      <c r="D303" s="55" t="s">
        <v>2123</v>
      </c>
      <c r="E303" s="55" t="s">
        <v>2831</v>
      </c>
      <c r="F303" s="404">
        <f>VLOOKUP(C303,'Functional Assignment'!$C$1:$AU$773,13,)</f>
        <v>3603181.6211745809</v>
      </c>
      <c r="G303" s="404">
        <f t="shared" ref="G303:R305" si="123">IF(VLOOKUP($E303,$D$5:$AH$1237,3,)=0,0,(VLOOKUP($E303,$D$5:$AH$1237,G$1,)/VLOOKUP($E303,$D$5:$AH$1237,3,))*$F303)</f>
        <v>1203884.9580432638</v>
      </c>
      <c r="H303" s="404">
        <f t="shared" si="123"/>
        <v>379933.17396444868</v>
      </c>
      <c r="I303" s="404">
        <f t="shared" si="123"/>
        <v>31641.288979622397</v>
      </c>
      <c r="J303" s="404">
        <f t="shared" si="123"/>
        <v>618474.06765502039</v>
      </c>
      <c r="K303" s="404">
        <f t="shared" si="123"/>
        <v>131893.01456812143</v>
      </c>
      <c r="L303" s="404">
        <f t="shared" si="123"/>
        <v>99967.706387845203</v>
      </c>
      <c r="M303" s="404">
        <f t="shared" si="123"/>
        <v>720472.09228308103</v>
      </c>
      <c r="N303" s="404">
        <f t="shared" si="123"/>
        <v>295604.6745386899</v>
      </c>
      <c r="O303" s="404">
        <f t="shared" si="123"/>
        <v>96075.032003600674</v>
      </c>
      <c r="P303" s="404">
        <f t="shared" si="123"/>
        <v>24988.404742760034</v>
      </c>
      <c r="Q303" s="404">
        <f t="shared" si="123"/>
        <v>8.1257830447728452</v>
      </c>
      <c r="R303" s="404">
        <f t="shared" si="123"/>
        <v>239.08222508247138</v>
      </c>
      <c r="S303" s="404"/>
      <c r="T303" s="62">
        <f>SUM(G303:R303)</f>
        <v>3603181.6211745813</v>
      </c>
      <c r="U303" s="61" t="str">
        <f>IF(ABS(F303-T303)&lt;0.01,"ok","err")</f>
        <v>ok</v>
      </c>
      <c r="V303" s="62" t="str">
        <f>IF(U303="err",T303-F303,"")</f>
        <v/>
      </c>
    </row>
    <row r="304" spans="1:22" ht="12" customHeight="1" x14ac:dyDescent="0.2">
      <c r="A304" s="403" t="s">
        <v>161</v>
      </c>
      <c r="C304" s="55" t="s">
        <v>1042</v>
      </c>
      <c r="D304" s="55" t="s">
        <v>2124</v>
      </c>
      <c r="E304" s="55" t="s">
        <v>59</v>
      </c>
      <c r="F304" s="73">
        <f>VLOOKUP(C304,'Functional Assignment'!$C$1:$AU$773,14,)</f>
        <v>3396639.138599555</v>
      </c>
      <c r="G304" s="73">
        <f t="shared" si="123"/>
        <v>1551235.9508359472</v>
      </c>
      <c r="H304" s="73">
        <f t="shared" si="123"/>
        <v>428397.34911230946</v>
      </c>
      <c r="I304" s="73">
        <f t="shared" si="123"/>
        <v>28881.885332116963</v>
      </c>
      <c r="J304" s="73">
        <f t="shared" si="123"/>
        <v>430440.42461023293</v>
      </c>
      <c r="K304" s="73">
        <f t="shared" si="123"/>
        <v>95581.427682211404</v>
      </c>
      <c r="L304" s="73">
        <f t="shared" si="123"/>
        <v>64016.776418480447</v>
      </c>
      <c r="M304" s="73">
        <f t="shared" si="123"/>
        <v>513291.04267589486</v>
      </c>
      <c r="N304" s="73">
        <f t="shared" si="123"/>
        <v>228690.7071712632</v>
      </c>
      <c r="O304" s="73">
        <f t="shared" si="123"/>
        <v>55971.906212516456</v>
      </c>
      <c r="P304" s="73">
        <f t="shared" si="123"/>
        <v>0</v>
      </c>
      <c r="Q304" s="73">
        <f t="shared" si="123"/>
        <v>0</v>
      </c>
      <c r="R304" s="73">
        <f t="shared" si="123"/>
        <v>131.66854858261684</v>
      </c>
      <c r="S304" s="73"/>
      <c r="T304" s="73">
        <f>SUM(G304:R304)</f>
        <v>3396639.1385995555</v>
      </c>
      <c r="U304" s="61" t="str">
        <f>IF(ABS(F304-T304)&lt;0.01,"ok","err")</f>
        <v>ok</v>
      </c>
      <c r="V304" s="62" t="str">
        <f>IF(U304="err",T304-F304,"")</f>
        <v/>
      </c>
    </row>
    <row r="305" spans="1:22" ht="12" customHeight="1" x14ac:dyDescent="0.2">
      <c r="A305" s="403" t="s">
        <v>160</v>
      </c>
      <c r="C305" s="55" t="s">
        <v>1042</v>
      </c>
      <c r="D305" s="55" t="s">
        <v>2125</v>
      </c>
      <c r="E305" s="55" t="s">
        <v>62</v>
      </c>
      <c r="F305" s="73">
        <f>VLOOKUP(C305,'Functional Assignment'!$C$1:$AU$773,15,)</f>
        <v>3488371.8436965528</v>
      </c>
      <c r="G305" s="73">
        <f t="shared" si="123"/>
        <v>1388776.1932148843</v>
      </c>
      <c r="H305" s="73">
        <f t="shared" si="123"/>
        <v>421514.79062617081</v>
      </c>
      <c r="I305" s="73">
        <f t="shared" si="123"/>
        <v>24070.830900908342</v>
      </c>
      <c r="J305" s="73">
        <f t="shared" si="123"/>
        <v>546763.12411433831</v>
      </c>
      <c r="K305" s="73">
        <f t="shared" si="123"/>
        <v>138441.23070194307</v>
      </c>
      <c r="L305" s="73">
        <f t="shared" si="123"/>
        <v>85553.446127483854</v>
      </c>
      <c r="M305" s="73">
        <f t="shared" si="123"/>
        <v>569127.7775112848</v>
      </c>
      <c r="N305" s="73">
        <f t="shared" si="123"/>
        <v>239714.00870064771</v>
      </c>
      <c r="O305" s="73">
        <f t="shared" si="123"/>
        <v>74278.183733766913</v>
      </c>
      <c r="P305" s="73">
        <f t="shared" si="123"/>
        <v>0</v>
      </c>
      <c r="Q305" s="73">
        <f t="shared" si="123"/>
        <v>0</v>
      </c>
      <c r="R305" s="73">
        <f t="shared" si="123"/>
        <v>132.25806512560351</v>
      </c>
      <c r="S305" s="73"/>
      <c r="T305" s="73">
        <f>SUM(G305:R305)</f>
        <v>3488371.8436965533</v>
      </c>
      <c r="U305" s="61" t="str">
        <f>IF(ABS(F305-T305)&lt;0.01,"ok","err")</f>
        <v>ok</v>
      </c>
      <c r="V305" s="62" t="str">
        <f>IF(U305="err",T305-F305,"")</f>
        <v/>
      </c>
    </row>
    <row r="306" spans="1:22" ht="12" customHeight="1" x14ac:dyDescent="0.2">
      <c r="A306" s="55" t="s">
        <v>556</v>
      </c>
      <c r="D306" s="55" t="s">
        <v>2126</v>
      </c>
      <c r="F306" s="404">
        <f t="shared" ref="F306:R306" si="124">SUM(F303:F305)</f>
        <v>10488192.603470689</v>
      </c>
      <c r="G306" s="404">
        <f t="shared" si="124"/>
        <v>4143897.1020940952</v>
      </c>
      <c r="H306" s="404">
        <f t="shared" si="124"/>
        <v>1229845.3137029288</v>
      </c>
      <c r="I306" s="404">
        <f>SUM(I303:I305)</f>
        <v>84594.005212647709</v>
      </c>
      <c r="J306" s="404">
        <f t="shared" si="124"/>
        <v>1595677.6163795916</v>
      </c>
      <c r="K306" s="404">
        <f t="shared" si="124"/>
        <v>365915.67295227596</v>
      </c>
      <c r="L306" s="404">
        <f t="shared" si="124"/>
        <v>249537.92893380951</v>
      </c>
      <c r="M306" s="404">
        <f t="shared" si="124"/>
        <v>1802890.9124702606</v>
      </c>
      <c r="N306" s="404">
        <f>SUM(N303:N305)</f>
        <v>764009.39041060081</v>
      </c>
      <c r="O306" s="404">
        <f t="shared" si="124"/>
        <v>226325.12194988405</v>
      </c>
      <c r="P306" s="404">
        <f t="shared" si="124"/>
        <v>24988.404742760034</v>
      </c>
      <c r="Q306" s="404">
        <f t="shared" si="124"/>
        <v>8.1257830447728452</v>
      </c>
      <c r="R306" s="404">
        <f t="shared" si="124"/>
        <v>503.0088387906917</v>
      </c>
      <c r="S306" s="404"/>
      <c r="T306" s="62">
        <f>SUM(G306:R306)</f>
        <v>10488192.603470689</v>
      </c>
      <c r="U306" s="61" t="str">
        <f>IF(ABS(F306-T306)&lt;0.01,"ok","err")</f>
        <v>ok</v>
      </c>
      <c r="V306" s="62" t="str">
        <f>IF(U306="err",T306-F306,"")</f>
        <v/>
      </c>
    </row>
    <row r="307" spans="1:22" ht="12" customHeight="1" x14ac:dyDescent="0.2">
      <c r="F307" s="73"/>
      <c r="G307" s="73"/>
    </row>
    <row r="308" spans="1:22" ht="12" customHeight="1" x14ac:dyDescent="0.2">
      <c r="A308" s="171" t="s">
        <v>2087</v>
      </c>
      <c r="F308" s="73"/>
      <c r="G308" s="73"/>
    </row>
    <row r="309" spans="1:22" ht="12" customHeight="1" x14ac:dyDescent="0.2">
      <c r="A309" s="403" t="s">
        <v>174</v>
      </c>
      <c r="C309" s="55" t="s">
        <v>1042</v>
      </c>
      <c r="D309" s="55" t="s">
        <v>2127</v>
      </c>
      <c r="E309" s="55" t="s">
        <v>2730</v>
      </c>
      <c r="F309" s="404">
        <f>VLOOKUP(C309,'Functional Assignment'!$C$1:$AU$773,17,)</f>
        <v>0</v>
      </c>
      <c r="G309" s="404">
        <f t="shared" ref="G309:R309" si="125">IF(VLOOKUP($E309,$D$5:$AH$1237,3,)=0,0,(VLOOKUP($E309,$D$5:$AH$1237,G$1,)/VLOOKUP($E309,$D$5:$AH$1237,3,))*$F309)</f>
        <v>0</v>
      </c>
      <c r="H309" s="404">
        <f t="shared" si="125"/>
        <v>0</v>
      </c>
      <c r="I309" s="404">
        <f t="shared" si="125"/>
        <v>0</v>
      </c>
      <c r="J309" s="404">
        <f t="shared" si="125"/>
        <v>0</v>
      </c>
      <c r="K309" s="404">
        <f t="shared" si="125"/>
        <v>0</v>
      </c>
      <c r="L309" s="404">
        <f t="shared" si="125"/>
        <v>0</v>
      </c>
      <c r="M309" s="404">
        <f t="shared" si="125"/>
        <v>0</v>
      </c>
      <c r="N309" s="404">
        <f t="shared" si="125"/>
        <v>0</v>
      </c>
      <c r="O309" s="404">
        <f t="shared" si="125"/>
        <v>0</v>
      </c>
      <c r="P309" s="404">
        <f t="shared" si="125"/>
        <v>0</v>
      </c>
      <c r="Q309" s="404">
        <f t="shared" si="125"/>
        <v>0</v>
      </c>
      <c r="R309" s="404">
        <f t="shared" si="125"/>
        <v>0</v>
      </c>
      <c r="S309" s="404"/>
      <c r="T309" s="62">
        <f>SUM(G309:R309)</f>
        <v>0</v>
      </c>
      <c r="U309" s="61" t="str">
        <f>IF(ABS(F309-T309)&lt;0.01,"ok","err")</f>
        <v>ok</v>
      </c>
      <c r="V309" s="62" t="str">
        <f>IF(U309="err",T309-F309,"")</f>
        <v/>
      </c>
    </row>
    <row r="310" spans="1:22" ht="12" customHeight="1" x14ac:dyDescent="0.2">
      <c r="F310" s="73"/>
    </row>
    <row r="311" spans="1:22" ht="12" customHeight="1" x14ac:dyDescent="0.2">
      <c r="A311" s="171" t="s">
        <v>2088</v>
      </c>
      <c r="F311" s="73"/>
      <c r="G311" s="73"/>
    </row>
    <row r="312" spans="1:22" ht="12" customHeight="1" x14ac:dyDescent="0.2">
      <c r="A312" s="403" t="s">
        <v>176</v>
      </c>
      <c r="C312" s="55" t="s">
        <v>1042</v>
      </c>
      <c r="D312" s="55" t="s">
        <v>2128</v>
      </c>
      <c r="E312" s="55" t="s">
        <v>2729</v>
      </c>
      <c r="F312" s="404">
        <f>VLOOKUP(C312,'Functional Assignment'!$C$1:$AU$773,18,)</f>
        <v>3884238.9213455985</v>
      </c>
      <c r="G312" s="404">
        <f t="shared" ref="G312:R312" si="126">IF(VLOOKUP($E312,$D$5:$AH$1237,3,)=0,0,(VLOOKUP($E312,$D$5:$AH$1237,G$1,)/VLOOKUP($E312,$D$5:$AH$1237,3,))*$F312)</f>
        <v>1757007.0517819445</v>
      </c>
      <c r="H312" s="404">
        <f t="shared" si="126"/>
        <v>538665.38268202194</v>
      </c>
      <c r="I312" s="404">
        <f t="shared" si="126"/>
        <v>50727.371177295143</v>
      </c>
      <c r="J312" s="404">
        <f t="shared" si="126"/>
        <v>594821.66860862728</v>
      </c>
      <c r="K312" s="404">
        <f t="shared" si="126"/>
        <v>148341.06837140792</v>
      </c>
      <c r="L312" s="404">
        <f t="shared" si="126"/>
        <v>87982.324054224999</v>
      </c>
      <c r="M312" s="404">
        <f t="shared" si="126"/>
        <v>676605.58431606309</v>
      </c>
      <c r="N312" s="404">
        <f t="shared" si="126"/>
        <v>0</v>
      </c>
      <c r="O312" s="404">
        <f t="shared" si="126"/>
        <v>0</v>
      </c>
      <c r="P312" s="404">
        <f t="shared" si="126"/>
        <v>29930.371805452811</v>
      </c>
      <c r="Q312" s="404">
        <f t="shared" si="126"/>
        <v>9.7340815669774301</v>
      </c>
      <c r="R312" s="404">
        <f t="shared" si="126"/>
        <v>148.36446699386369</v>
      </c>
      <c r="S312" s="404"/>
      <c r="T312" s="62">
        <f>SUM(G312:R312)</f>
        <v>3884238.9213455985</v>
      </c>
      <c r="U312" s="61" t="str">
        <f>IF(ABS(F312-T312)&lt;0.01,"ok","err")</f>
        <v>ok</v>
      </c>
      <c r="V312" s="62" t="str">
        <f>IF(U312="err",T312-F312,"")</f>
        <v/>
      </c>
    </row>
    <row r="313" spans="1:22" ht="12" customHeight="1" x14ac:dyDescent="0.2">
      <c r="F313" s="73"/>
    </row>
    <row r="314" spans="1:22" ht="12" customHeight="1" x14ac:dyDescent="0.2">
      <c r="A314" s="171" t="s">
        <v>175</v>
      </c>
      <c r="F314" s="73"/>
    </row>
    <row r="315" spans="1:22" ht="12" customHeight="1" x14ac:dyDescent="0.2">
      <c r="A315" s="403" t="s">
        <v>1010</v>
      </c>
      <c r="C315" s="55" t="s">
        <v>1042</v>
      </c>
      <c r="D315" s="55" t="s">
        <v>2129</v>
      </c>
      <c r="E315" s="55" t="s">
        <v>2730</v>
      </c>
      <c r="F315" s="404">
        <f>VLOOKUP(C315,'Functional Assignment'!$C$1:$AU$773,19,)</f>
        <v>0</v>
      </c>
      <c r="G315" s="404">
        <f t="shared" ref="G315:R319" si="127">IF(VLOOKUP($E315,$D$5:$AH$1237,3,)=0,0,(VLOOKUP($E315,$D$5:$AH$1237,G$1,)/VLOOKUP($E315,$D$5:$AH$1237,3,))*$F315)</f>
        <v>0</v>
      </c>
      <c r="H315" s="404">
        <f t="shared" si="127"/>
        <v>0</v>
      </c>
      <c r="I315" s="404">
        <f t="shared" si="127"/>
        <v>0</v>
      </c>
      <c r="J315" s="404">
        <f t="shared" si="127"/>
        <v>0</v>
      </c>
      <c r="K315" s="404">
        <f t="shared" si="127"/>
        <v>0</v>
      </c>
      <c r="L315" s="404">
        <f t="shared" si="127"/>
        <v>0</v>
      </c>
      <c r="M315" s="404">
        <f t="shared" si="127"/>
        <v>0</v>
      </c>
      <c r="N315" s="404">
        <f t="shared" si="127"/>
        <v>0</v>
      </c>
      <c r="O315" s="404">
        <f t="shared" si="127"/>
        <v>0</v>
      </c>
      <c r="P315" s="404">
        <f t="shared" si="127"/>
        <v>0</v>
      </c>
      <c r="Q315" s="404">
        <f t="shared" si="127"/>
        <v>0</v>
      </c>
      <c r="R315" s="404">
        <f t="shared" si="127"/>
        <v>0</v>
      </c>
      <c r="S315" s="404"/>
      <c r="T315" s="62">
        <f t="shared" ref="T315:T320" si="128">SUM(G315:R315)</f>
        <v>0</v>
      </c>
      <c r="U315" s="61" t="str">
        <f t="shared" ref="U315:U320" si="129">IF(ABS(F315-T315)&lt;0.01,"ok","err")</f>
        <v>ok</v>
      </c>
      <c r="V315" s="62" t="str">
        <f t="shared" ref="V315:V320" si="130">IF(U315="err",T315-F315,"")</f>
        <v/>
      </c>
    </row>
    <row r="316" spans="1:22" ht="12" customHeight="1" x14ac:dyDescent="0.2">
      <c r="A316" s="403" t="s">
        <v>1011</v>
      </c>
      <c r="C316" s="55" t="s">
        <v>1042</v>
      </c>
      <c r="D316" s="55" t="s">
        <v>2130</v>
      </c>
      <c r="E316" s="55" t="s">
        <v>2730</v>
      </c>
      <c r="F316" s="73">
        <f>VLOOKUP(C316,'Functional Assignment'!$C$1:$AU$773,20,)</f>
        <v>6291052.5181382522</v>
      </c>
      <c r="G316" s="73">
        <f t="shared" si="127"/>
        <v>2845711.5695834393</v>
      </c>
      <c r="H316" s="73">
        <f t="shared" si="127"/>
        <v>872441.75262568123</v>
      </c>
      <c r="I316" s="73">
        <f t="shared" si="127"/>
        <v>82159.867774792336</v>
      </c>
      <c r="J316" s="73">
        <f t="shared" si="127"/>
        <v>963394.48523088254</v>
      </c>
      <c r="K316" s="73">
        <f t="shared" si="127"/>
        <v>240258.50896884914</v>
      </c>
      <c r="L316" s="73">
        <f t="shared" si="127"/>
        <v>142499.32419225154</v>
      </c>
      <c r="M316" s="73">
        <f t="shared" si="127"/>
        <v>1095854.6451935021</v>
      </c>
      <c r="N316" s="73">
        <f t="shared" si="127"/>
        <v>0</v>
      </c>
      <c r="O316" s="73">
        <f t="shared" si="127"/>
        <v>0</v>
      </c>
      <c r="P316" s="73">
        <f t="shared" si="127"/>
        <v>48476.302495387798</v>
      </c>
      <c r="Q316" s="73">
        <f t="shared" si="127"/>
        <v>15.765667250067677</v>
      </c>
      <c r="R316" s="73">
        <f t="shared" si="127"/>
        <v>240.29640621608394</v>
      </c>
      <c r="S316" s="73"/>
      <c r="T316" s="73">
        <f t="shared" si="128"/>
        <v>6291052.5181382522</v>
      </c>
      <c r="U316" s="61" t="str">
        <f t="shared" si="129"/>
        <v>ok</v>
      </c>
      <c r="V316" s="62" t="str">
        <f t="shared" si="130"/>
        <v/>
      </c>
    </row>
    <row r="317" spans="1:22" ht="12" customHeight="1" x14ac:dyDescent="0.2">
      <c r="A317" s="403" t="s">
        <v>1012</v>
      </c>
      <c r="C317" s="55" t="s">
        <v>1042</v>
      </c>
      <c r="D317" s="55" t="s">
        <v>2131</v>
      </c>
      <c r="E317" s="55" t="s">
        <v>1180</v>
      </c>
      <c r="F317" s="73">
        <f>VLOOKUP(C317,'Functional Assignment'!$C$1:$AU$773,21,)</f>
        <v>9004387.6302624922</v>
      </c>
      <c r="G317" s="73">
        <f t="shared" si="127"/>
        <v>7165142.7946167169</v>
      </c>
      <c r="H317" s="73">
        <f t="shared" si="127"/>
        <v>1399489.3605384629</v>
      </c>
      <c r="I317" s="73">
        <f t="shared" si="127"/>
        <v>10909.273717383452</v>
      </c>
      <c r="J317" s="73">
        <f t="shared" si="127"/>
        <v>96018.654453157782</v>
      </c>
      <c r="K317" s="73">
        <f t="shared" si="127"/>
        <v>5062.5848344732585</v>
      </c>
      <c r="L317" s="73">
        <f t="shared" si="127"/>
        <v>2335.266405127395</v>
      </c>
      <c r="M317" s="73">
        <f t="shared" si="127"/>
        <v>2829.5928704463331</v>
      </c>
      <c r="N317" s="73">
        <f t="shared" si="127"/>
        <v>0</v>
      </c>
      <c r="O317" s="73">
        <f t="shared" si="127"/>
        <v>0</v>
      </c>
      <c r="P317" s="73">
        <f t="shared" si="127"/>
        <v>321302.73260165204</v>
      </c>
      <c r="Q317" s="73">
        <f t="shared" si="127"/>
        <v>20.833682446392011</v>
      </c>
      <c r="R317" s="73">
        <f t="shared" si="127"/>
        <v>1276.5365426243829</v>
      </c>
      <c r="S317" s="73"/>
      <c r="T317" s="73">
        <f t="shared" si="128"/>
        <v>9004387.6302624904</v>
      </c>
      <c r="U317" s="61" t="str">
        <f t="shared" si="129"/>
        <v>ok</v>
      </c>
      <c r="V317" s="62" t="str">
        <f t="shared" si="130"/>
        <v/>
      </c>
    </row>
    <row r="318" spans="1:22" ht="12" customHeight="1" x14ac:dyDescent="0.2">
      <c r="A318" s="403" t="s">
        <v>1013</v>
      </c>
      <c r="C318" s="55" t="s">
        <v>1042</v>
      </c>
      <c r="D318" s="55" t="s">
        <v>2132</v>
      </c>
      <c r="E318" s="55" t="s">
        <v>909</v>
      </c>
      <c r="F318" s="73">
        <f>VLOOKUP(C318,'Functional Assignment'!$C$1:$AU$773,22,)</f>
        <v>1110185.7384949857</v>
      </c>
      <c r="G318" s="73">
        <f t="shared" si="127"/>
        <v>760401.96056307992</v>
      </c>
      <c r="H318" s="73">
        <f t="shared" si="127"/>
        <v>176700.84452237858</v>
      </c>
      <c r="I318" s="73">
        <f t="shared" si="127"/>
        <v>10375.002612629984</v>
      </c>
      <c r="J318" s="73">
        <f t="shared" si="127"/>
        <v>136428.26459681836</v>
      </c>
      <c r="K318" s="73">
        <f t="shared" si="127"/>
        <v>0</v>
      </c>
      <c r="L318" s="73">
        <f t="shared" si="127"/>
        <v>20623.46492485427</v>
      </c>
      <c r="M318" s="73">
        <f t="shared" si="127"/>
        <v>0</v>
      </c>
      <c r="N318" s="73">
        <f t="shared" si="127"/>
        <v>0</v>
      </c>
      <c r="O318" s="73">
        <f t="shared" si="127"/>
        <v>0</v>
      </c>
      <c r="P318" s="73">
        <f t="shared" si="127"/>
        <v>5623.7605969941869</v>
      </c>
      <c r="Q318" s="73">
        <f t="shared" si="127"/>
        <v>1.8289831051922316</v>
      </c>
      <c r="R318" s="73">
        <f t="shared" si="127"/>
        <v>30.611695125196199</v>
      </c>
      <c r="S318" s="73"/>
      <c r="T318" s="73">
        <f t="shared" si="128"/>
        <v>1110185.7384949857</v>
      </c>
      <c r="U318" s="61" t="str">
        <f t="shared" si="129"/>
        <v>ok</v>
      </c>
      <c r="V318" s="62" t="str">
        <f t="shared" si="130"/>
        <v/>
      </c>
    </row>
    <row r="319" spans="1:22" ht="12" customHeight="1" x14ac:dyDescent="0.2">
      <c r="A319" s="403" t="s">
        <v>1014</v>
      </c>
      <c r="C319" s="55" t="s">
        <v>1042</v>
      </c>
      <c r="D319" s="55" t="s">
        <v>2133</v>
      </c>
      <c r="E319" s="55" t="s">
        <v>1179</v>
      </c>
      <c r="F319" s="73">
        <f>VLOOKUP(C319,'Functional Assignment'!$C$1:$AU$773,23,)</f>
        <v>1589009.5818110283</v>
      </c>
      <c r="G319" s="73">
        <f t="shared" si="127"/>
        <v>1265546.1913731624</v>
      </c>
      <c r="H319" s="73">
        <f t="shared" si="127"/>
        <v>247185.36404150701</v>
      </c>
      <c r="I319" s="73">
        <f t="shared" si="127"/>
        <v>1926.8548023990218</v>
      </c>
      <c r="J319" s="73">
        <f t="shared" si="127"/>
        <v>16959.332971740139</v>
      </c>
      <c r="K319" s="73">
        <f t="shared" si="127"/>
        <v>0</v>
      </c>
      <c r="L319" s="73">
        <f t="shared" si="127"/>
        <v>412.46735613854059</v>
      </c>
      <c r="M319" s="73">
        <f t="shared" si="127"/>
        <v>0</v>
      </c>
      <c r="N319" s="73">
        <f t="shared" si="127"/>
        <v>0</v>
      </c>
      <c r="O319" s="73">
        <f t="shared" si="127"/>
        <v>0</v>
      </c>
      <c r="P319" s="73">
        <f t="shared" si="127"/>
        <v>56750.222734892719</v>
      </c>
      <c r="Q319" s="73">
        <f t="shared" si="127"/>
        <v>3.6797574351370215</v>
      </c>
      <c r="R319" s="73">
        <f t="shared" si="127"/>
        <v>225.46877375294108</v>
      </c>
      <c r="S319" s="73"/>
      <c r="T319" s="73">
        <f t="shared" si="128"/>
        <v>1589009.5818110278</v>
      </c>
      <c r="U319" s="61" t="str">
        <f t="shared" si="129"/>
        <v>ok</v>
      </c>
      <c r="V319" s="62" t="str">
        <f t="shared" si="130"/>
        <v/>
      </c>
    </row>
    <row r="320" spans="1:22" ht="12" customHeight="1" x14ac:dyDescent="0.2">
      <c r="A320" s="55" t="s">
        <v>180</v>
      </c>
      <c r="D320" s="55" t="s">
        <v>2134</v>
      </c>
      <c r="F320" s="404">
        <f>SUM(F315:F319)</f>
        <v>17994635.468706761</v>
      </c>
      <c r="G320" s="404">
        <f t="shared" ref="G320:R320" si="131">SUM(G315:G319)</f>
        <v>12036802.516136399</v>
      </c>
      <c r="H320" s="404">
        <f t="shared" si="131"/>
        <v>2695817.3217280293</v>
      </c>
      <c r="I320" s="404">
        <f>SUM(I315:I319)</f>
        <v>105370.99890720478</v>
      </c>
      <c r="J320" s="404">
        <f t="shared" si="131"/>
        <v>1212800.7372525986</v>
      </c>
      <c r="K320" s="404">
        <f t="shared" si="131"/>
        <v>245321.09380332241</v>
      </c>
      <c r="L320" s="404">
        <f t="shared" si="131"/>
        <v>165870.52287837173</v>
      </c>
      <c r="M320" s="404">
        <f t="shared" si="131"/>
        <v>1098684.2380639485</v>
      </c>
      <c r="N320" s="404">
        <f>SUM(N315:N319)</f>
        <v>0</v>
      </c>
      <c r="O320" s="404">
        <f t="shared" si="131"/>
        <v>0</v>
      </c>
      <c r="P320" s="404">
        <f t="shared" si="131"/>
        <v>432153.01842892676</v>
      </c>
      <c r="Q320" s="404">
        <f t="shared" si="131"/>
        <v>42.108090236788939</v>
      </c>
      <c r="R320" s="404">
        <f t="shared" si="131"/>
        <v>1772.9134177186043</v>
      </c>
      <c r="S320" s="404"/>
      <c r="T320" s="62">
        <f t="shared" si="128"/>
        <v>17994635.468706757</v>
      </c>
      <c r="U320" s="61" t="str">
        <f t="shared" si="129"/>
        <v>ok</v>
      </c>
      <c r="V320" s="62" t="str">
        <f t="shared" si="130"/>
        <v/>
      </c>
    </row>
    <row r="321" spans="1:22" ht="12" customHeight="1" x14ac:dyDescent="0.2">
      <c r="F321" s="73"/>
    </row>
    <row r="322" spans="1:22" ht="12" customHeight="1" x14ac:dyDescent="0.2">
      <c r="A322" s="171" t="s">
        <v>1009</v>
      </c>
      <c r="F322" s="73"/>
    </row>
    <row r="323" spans="1:22" ht="12" customHeight="1" x14ac:dyDescent="0.2">
      <c r="A323" s="403" t="s">
        <v>501</v>
      </c>
      <c r="C323" s="55" t="s">
        <v>1042</v>
      </c>
      <c r="D323" s="55" t="s">
        <v>2135</v>
      </c>
      <c r="E323" s="55" t="s">
        <v>909</v>
      </c>
      <c r="F323" s="404">
        <f>VLOOKUP(C323,'Functional Assignment'!$C$1:$AU$773,24,)</f>
        <v>3907563.5462637078</v>
      </c>
      <c r="G323" s="404">
        <f t="shared" ref="G323:R324" si="132">IF(VLOOKUP($E323,$D$5:$AH$1237,3,)=0,0,(VLOOKUP($E323,$D$5:$AH$1237,G$1,)/VLOOKUP($E323,$D$5:$AH$1237,3,))*$F323)</f>
        <v>2676416.0973926662</v>
      </c>
      <c r="H323" s="404">
        <f t="shared" si="132"/>
        <v>621940.77505056723</v>
      </c>
      <c r="I323" s="404">
        <f t="shared" si="132"/>
        <v>36517.296697093858</v>
      </c>
      <c r="J323" s="404">
        <f t="shared" si="132"/>
        <v>480191.82280367118</v>
      </c>
      <c r="K323" s="404">
        <f t="shared" si="132"/>
        <v>0</v>
      </c>
      <c r="L323" s="404">
        <f t="shared" si="132"/>
        <v>72589.204620171513</v>
      </c>
      <c r="M323" s="404">
        <f t="shared" si="132"/>
        <v>0</v>
      </c>
      <c r="N323" s="404">
        <f t="shared" si="132"/>
        <v>0</v>
      </c>
      <c r="O323" s="404">
        <f t="shared" si="132"/>
        <v>0</v>
      </c>
      <c r="P323" s="404">
        <f t="shared" si="132"/>
        <v>19794.166993641276</v>
      </c>
      <c r="Q323" s="404">
        <f t="shared" si="132"/>
        <v>6.4375423505889726</v>
      </c>
      <c r="R323" s="404">
        <f t="shared" si="132"/>
        <v>107.74516354597847</v>
      </c>
      <c r="S323" s="404"/>
      <c r="T323" s="62">
        <f>SUM(G323:R323)</f>
        <v>3907563.5462637073</v>
      </c>
      <c r="U323" s="61" t="str">
        <f>IF(ABS(F323-T323)&lt;0.01,"ok","err")</f>
        <v>ok</v>
      </c>
      <c r="V323" s="62" t="str">
        <f>IF(U323="err",T323-F323,"")</f>
        <v/>
      </c>
    </row>
    <row r="324" spans="1:22" ht="12" customHeight="1" x14ac:dyDescent="0.2">
      <c r="A324" s="403" t="s">
        <v>504</v>
      </c>
      <c r="C324" s="55" t="s">
        <v>1042</v>
      </c>
      <c r="D324" s="55" t="s">
        <v>2136</v>
      </c>
      <c r="E324" s="55" t="s">
        <v>1179</v>
      </c>
      <c r="F324" s="73">
        <f>VLOOKUP(C324,'Functional Assignment'!$C$1:$AU$773,25,)</f>
        <v>3343435.7973319637</v>
      </c>
      <c r="G324" s="73">
        <f t="shared" si="132"/>
        <v>2662836.3276398168</v>
      </c>
      <c r="H324" s="73">
        <f t="shared" si="132"/>
        <v>520102.83900930715</v>
      </c>
      <c r="I324" s="73">
        <f t="shared" si="132"/>
        <v>4054.2960825065961</v>
      </c>
      <c r="J324" s="73">
        <f t="shared" si="132"/>
        <v>35684.140363686965</v>
      </c>
      <c r="K324" s="73">
        <f t="shared" si="132"/>
        <v>0</v>
      </c>
      <c r="L324" s="73">
        <f t="shared" si="132"/>
        <v>867.87275516156819</v>
      </c>
      <c r="M324" s="73">
        <f t="shared" si="132"/>
        <v>0</v>
      </c>
      <c r="N324" s="73">
        <f t="shared" si="132"/>
        <v>0</v>
      </c>
      <c r="O324" s="73">
        <f t="shared" si="132"/>
        <v>0</v>
      </c>
      <c r="P324" s="73">
        <f t="shared" si="132"/>
        <v>119408.16995083881</v>
      </c>
      <c r="Q324" s="73">
        <f t="shared" si="132"/>
        <v>7.7425793242313485</v>
      </c>
      <c r="R324" s="73">
        <f t="shared" si="132"/>
        <v>474.40895132108432</v>
      </c>
      <c r="S324" s="73"/>
      <c r="T324" s="73">
        <f>SUM(G324:R324)</f>
        <v>3343435.7973319632</v>
      </c>
      <c r="U324" s="61" t="str">
        <f>IF(ABS(F324-T324)&lt;0.01,"ok","err")</f>
        <v>ok</v>
      </c>
      <c r="V324" s="62" t="str">
        <f>IF(U324="err",T324-F324,"")</f>
        <v/>
      </c>
    </row>
    <row r="325" spans="1:22" ht="12" customHeight="1" x14ac:dyDescent="0.2">
      <c r="A325" s="55" t="s">
        <v>1890</v>
      </c>
      <c r="D325" s="55" t="s">
        <v>2137</v>
      </c>
      <c r="F325" s="404">
        <f t="shared" ref="F325:R325" si="133">F323+F324</f>
        <v>7250999.3435956715</v>
      </c>
      <c r="G325" s="404">
        <f t="shared" si="133"/>
        <v>5339252.4250324834</v>
      </c>
      <c r="H325" s="404">
        <f t="shared" si="133"/>
        <v>1142043.6140598743</v>
      </c>
      <c r="I325" s="404">
        <f>I323+I324</f>
        <v>40571.592779600454</v>
      </c>
      <c r="J325" s="404">
        <f t="shared" si="133"/>
        <v>515875.96316735813</v>
      </c>
      <c r="K325" s="404">
        <f t="shared" si="133"/>
        <v>0</v>
      </c>
      <c r="L325" s="404">
        <f t="shared" si="133"/>
        <v>73457.077375333087</v>
      </c>
      <c r="M325" s="404">
        <f t="shared" si="133"/>
        <v>0</v>
      </c>
      <c r="N325" s="404">
        <f>N323+N324</f>
        <v>0</v>
      </c>
      <c r="O325" s="404">
        <f t="shared" si="133"/>
        <v>0</v>
      </c>
      <c r="P325" s="404">
        <f t="shared" si="133"/>
        <v>139202.33694448008</v>
      </c>
      <c r="Q325" s="404">
        <f t="shared" si="133"/>
        <v>14.18012167482032</v>
      </c>
      <c r="R325" s="404">
        <f t="shared" si="133"/>
        <v>582.15411486706284</v>
      </c>
      <c r="S325" s="404"/>
      <c r="T325" s="62">
        <f>SUM(G325:R325)</f>
        <v>7250999.3435956715</v>
      </c>
      <c r="U325" s="61" t="str">
        <f>IF(ABS(F325-T325)&lt;0.01,"ok","err")</f>
        <v>ok</v>
      </c>
      <c r="V325" s="62" t="str">
        <f>IF(U325="err",T325-F325,"")</f>
        <v/>
      </c>
    </row>
    <row r="326" spans="1:22" ht="12" customHeight="1" x14ac:dyDescent="0.2">
      <c r="F326" s="73"/>
    </row>
    <row r="327" spans="1:22" ht="12" customHeight="1" x14ac:dyDescent="0.2">
      <c r="A327" s="171" t="s">
        <v>148</v>
      </c>
      <c r="F327" s="73"/>
    </row>
    <row r="328" spans="1:22" ht="12" customHeight="1" x14ac:dyDescent="0.2">
      <c r="A328" s="403" t="s">
        <v>504</v>
      </c>
      <c r="C328" s="55" t="s">
        <v>1042</v>
      </c>
      <c r="D328" s="55" t="s">
        <v>2138</v>
      </c>
      <c r="E328" s="55" t="s">
        <v>505</v>
      </c>
      <c r="F328" s="404">
        <f>VLOOKUP(C328,'Functional Assignment'!$C$1:$AU$773,26,)</f>
        <v>2241321.5822554841</v>
      </c>
      <c r="G328" s="404">
        <f t="shared" ref="G328:R328" si="134">IF(VLOOKUP($E328,$D$5:$AH$1237,3,)=0,0,(VLOOKUP($E328,$D$5:$AH$1237,G$1,)/VLOOKUP($E328,$D$5:$AH$1237,3,))*$F328)</f>
        <v>1320093.8850409847</v>
      </c>
      <c r="H328" s="404">
        <f t="shared" si="134"/>
        <v>866364.72791156208</v>
      </c>
      <c r="I328" s="404">
        <f t="shared" si="134"/>
        <v>4135.2808936388938</v>
      </c>
      <c r="J328" s="404">
        <f t="shared" si="134"/>
        <v>47548.481692501184</v>
      </c>
      <c r="K328" s="404">
        <f t="shared" si="134"/>
        <v>0</v>
      </c>
      <c r="L328" s="404">
        <f t="shared" si="134"/>
        <v>881.07851077531643</v>
      </c>
      <c r="M328" s="404">
        <f t="shared" si="134"/>
        <v>0</v>
      </c>
      <c r="N328" s="404">
        <f t="shared" si="134"/>
        <v>0</v>
      </c>
      <c r="O328" s="404">
        <f t="shared" si="134"/>
        <v>0</v>
      </c>
      <c r="P328" s="404">
        <f t="shared" si="134"/>
        <v>0</v>
      </c>
      <c r="Q328" s="404">
        <f t="shared" si="134"/>
        <v>34.581956588563109</v>
      </c>
      <c r="R328" s="404">
        <f t="shared" si="134"/>
        <v>2263.5462494332223</v>
      </c>
      <c r="S328" s="404"/>
      <c r="T328" s="62">
        <f>SUM(G328:R328)</f>
        <v>2241321.5822554841</v>
      </c>
      <c r="U328" s="61" t="str">
        <f>IF(ABS(F328-T328)&lt;0.01,"ok","err")</f>
        <v>ok</v>
      </c>
      <c r="V328" s="62" t="str">
        <f>IF(U328="err",T328-F328,"")</f>
        <v/>
      </c>
    </row>
    <row r="329" spans="1:22" ht="12" customHeight="1" x14ac:dyDescent="0.2">
      <c r="F329" s="73"/>
    </row>
    <row r="330" spans="1:22" ht="12" customHeight="1" x14ac:dyDescent="0.2">
      <c r="A330" s="171" t="s">
        <v>147</v>
      </c>
      <c r="F330" s="73"/>
    </row>
    <row r="331" spans="1:22" ht="12" customHeight="1" x14ac:dyDescent="0.2">
      <c r="A331" s="403" t="s">
        <v>504</v>
      </c>
      <c r="C331" s="55" t="s">
        <v>1042</v>
      </c>
      <c r="D331" s="55" t="s">
        <v>2139</v>
      </c>
      <c r="E331" s="55" t="s">
        <v>506</v>
      </c>
      <c r="F331" s="404">
        <f>VLOOKUP(C331,'Functional Assignment'!$C$1:$AU$773,27,)</f>
        <v>1776180.1389795695</v>
      </c>
      <c r="G331" s="404">
        <f t="shared" ref="G331:R331" si="135">IF(VLOOKUP($E331,$D$5:$AH$1237,3,)=0,0,(VLOOKUP($E331,$D$5:$AH$1237,G$1,)/VLOOKUP($E331,$D$5:$AH$1237,3,))*$F331)</f>
        <v>1114582.0470562701</v>
      </c>
      <c r="H331" s="404">
        <f t="shared" si="135"/>
        <v>406354.73327652481</v>
      </c>
      <c r="I331" s="404">
        <f t="shared" si="135"/>
        <v>9496.434649259596</v>
      </c>
      <c r="J331" s="404">
        <f t="shared" si="135"/>
        <v>119238.07007114575</v>
      </c>
      <c r="K331" s="404">
        <f t="shared" si="135"/>
        <v>43763.205934807782</v>
      </c>
      <c r="L331" s="404">
        <f t="shared" si="135"/>
        <v>4483.4473320112902</v>
      </c>
      <c r="M331" s="404">
        <f t="shared" si="135"/>
        <v>31666.662244317933</v>
      </c>
      <c r="N331" s="404">
        <f t="shared" si="135"/>
        <v>43072.70651524781</v>
      </c>
      <c r="O331" s="404">
        <f t="shared" si="135"/>
        <v>1582.4756349560594</v>
      </c>
      <c r="P331" s="404">
        <f t="shared" si="135"/>
        <v>0</v>
      </c>
      <c r="Q331" s="404">
        <f t="shared" si="135"/>
        <v>29.198247490173831</v>
      </c>
      <c r="R331" s="404">
        <f t="shared" si="135"/>
        <v>1911.1580175386507</v>
      </c>
      <c r="S331" s="404"/>
      <c r="T331" s="62">
        <f>SUM(G331:R331)</f>
        <v>1776180.1389795698</v>
      </c>
      <c r="U331" s="61" t="str">
        <f>IF(ABS(F331-T331)&lt;0.01,"ok","err")</f>
        <v>ok</v>
      </c>
      <c r="V331" s="62" t="str">
        <f>IF(U331="err",T331-F331,"")</f>
        <v/>
      </c>
    </row>
    <row r="332" spans="1:22" ht="12" customHeight="1" x14ac:dyDescent="0.2">
      <c r="F332" s="73"/>
    </row>
    <row r="333" spans="1:22" ht="12" customHeight="1" x14ac:dyDescent="0.2">
      <c r="A333" s="171" t="s">
        <v>173</v>
      </c>
      <c r="F333" s="73"/>
    </row>
    <row r="334" spans="1:22" ht="12" customHeight="1" x14ac:dyDescent="0.2">
      <c r="A334" s="403" t="s">
        <v>504</v>
      </c>
      <c r="C334" s="55" t="s">
        <v>1042</v>
      </c>
      <c r="D334" s="55" t="s">
        <v>2140</v>
      </c>
      <c r="E334" s="55" t="s">
        <v>507</v>
      </c>
      <c r="F334" s="404">
        <f>VLOOKUP(C334,'Functional Assignment'!$C$1:$AU$773,28,)</f>
        <v>2608720.5676907296</v>
      </c>
      <c r="G334" s="404">
        <f t="shared" ref="G334:R334" si="136">IF(VLOOKUP($E334,$D$5:$AH$1237,3,)=0,0,(VLOOKUP($E334,$D$5:$AH$1237,G$1,)/VLOOKUP($E334,$D$5:$AH$1237,3,))*$F334)</f>
        <v>0</v>
      </c>
      <c r="H334" s="404">
        <f t="shared" si="136"/>
        <v>0</v>
      </c>
      <c r="I334" s="404">
        <f t="shared" si="136"/>
        <v>0</v>
      </c>
      <c r="J334" s="404">
        <f t="shared" si="136"/>
        <v>0</v>
      </c>
      <c r="K334" s="404">
        <f t="shared" si="136"/>
        <v>0</v>
      </c>
      <c r="L334" s="404">
        <f t="shared" si="136"/>
        <v>0</v>
      </c>
      <c r="M334" s="404">
        <f t="shared" si="136"/>
        <v>0</v>
      </c>
      <c r="N334" s="404">
        <f t="shared" si="136"/>
        <v>0</v>
      </c>
      <c r="O334" s="404">
        <f t="shared" si="136"/>
        <v>0</v>
      </c>
      <c r="P334" s="404">
        <f t="shared" si="136"/>
        <v>2608720.5676907296</v>
      </c>
      <c r="Q334" s="404">
        <f t="shared" si="136"/>
        <v>0</v>
      </c>
      <c r="R334" s="404">
        <f t="shared" si="136"/>
        <v>0</v>
      </c>
      <c r="S334" s="404"/>
      <c r="T334" s="62">
        <f>SUM(G334:R334)</f>
        <v>2608720.5676907296</v>
      </c>
      <c r="U334" s="61" t="str">
        <f>IF(ABS(F334-T334)&lt;0.01,"ok","err")</f>
        <v>ok</v>
      </c>
      <c r="V334" s="62" t="str">
        <f>IF(U334="err",T334-F334,"")</f>
        <v/>
      </c>
    </row>
    <row r="335" spans="1:22" ht="12" customHeight="1" x14ac:dyDescent="0.2">
      <c r="F335" s="73"/>
    </row>
    <row r="336" spans="1:22" ht="12" customHeight="1" x14ac:dyDescent="0.2">
      <c r="A336" s="171" t="s">
        <v>381</v>
      </c>
      <c r="F336" s="73"/>
    </row>
    <row r="337" spans="1:22" ht="12" customHeight="1" x14ac:dyDescent="0.2">
      <c r="A337" s="403" t="s">
        <v>504</v>
      </c>
      <c r="C337" s="55" t="s">
        <v>1042</v>
      </c>
      <c r="D337" s="55" t="s">
        <v>2141</v>
      </c>
      <c r="E337" s="55" t="s">
        <v>508</v>
      </c>
      <c r="F337" s="404">
        <f>VLOOKUP(C337,'Functional Assignment'!$C$1:$AU$773,30,)</f>
        <v>0</v>
      </c>
      <c r="G337" s="404">
        <f t="shared" ref="G337:R337" si="137">IF(VLOOKUP($E337,$D$5:$AH$1237,3,)=0,0,(VLOOKUP($E337,$D$5:$AH$1237,G$1,)/VLOOKUP($E337,$D$5:$AH$1237,3,))*$F337)</f>
        <v>0</v>
      </c>
      <c r="H337" s="404">
        <f t="shared" si="137"/>
        <v>0</v>
      </c>
      <c r="I337" s="404">
        <f t="shared" si="137"/>
        <v>0</v>
      </c>
      <c r="J337" s="404">
        <f t="shared" si="137"/>
        <v>0</v>
      </c>
      <c r="K337" s="404">
        <f t="shared" si="137"/>
        <v>0</v>
      </c>
      <c r="L337" s="404">
        <f t="shared" si="137"/>
        <v>0</v>
      </c>
      <c r="M337" s="404">
        <f t="shared" si="137"/>
        <v>0</v>
      </c>
      <c r="N337" s="404">
        <f t="shared" si="137"/>
        <v>0</v>
      </c>
      <c r="O337" s="404">
        <f t="shared" si="137"/>
        <v>0</v>
      </c>
      <c r="P337" s="404">
        <f t="shared" si="137"/>
        <v>0</v>
      </c>
      <c r="Q337" s="404">
        <f t="shared" si="137"/>
        <v>0</v>
      </c>
      <c r="R337" s="404">
        <f t="shared" si="137"/>
        <v>0</v>
      </c>
      <c r="S337" s="404"/>
      <c r="T337" s="62">
        <f>SUM(G337:R337)</f>
        <v>0</v>
      </c>
      <c r="U337" s="61" t="str">
        <f>IF(ABS(F337-T337)&lt;0.01,"ok","err")</f>
        <v>ok</v>
      </c>
      <c r="V337" s="62" t="str">
        <f>IF(U337="err",T337-F337,"")</f>
        <v/>
      </c>
    </row>
    <row r="338" spans="1:22" ht="12" customHeight="1" x14ac:dyDescent="0.2">
      <c r="F338" s="73"/>
    </row>
    <row r="339" spans="1:22" ht="12" customHeight="1" x14ac:dyDescent="0.2">
      <c r="A339" s="171" t="s">
        <v>2090</v>
      </c>
      <c r="F339" s="73"/>
    </row>
    <row r="340" spans="1:22" ht="12" customHeight="1" x14ac:dyDescent="0.2">
      <c r="A340" s="403" t="s">
        <v>504</v>
      </c>
      <c r="C340" s="55" t="s">
        <v>1042</v>
      </c>
      <c r="D340" s="55" t="s">
        <v>2142</v>
      </c>
      <c r="E340" s="55" t="s">
        <v>508</v>
      </c>
      <c r="F340" s="404">
        <f>VLOOKUP(C340,'Functional Assignment'!$C$1:$AU$773,32,)</f>
        <v>0</v>
      </c>
      <c r="G340" s="404">
        <f t="shared" ref="G340:R340" si="138">IF(VLOOKUP($E340,$D$5:$AH$1237,3,)=0,0,(VLOOKUP($E340,$D$5:$AH$1237,G$1,)/VLOOKUP($E340,$D$5:$AH$1237,3,))*$F340)</f>
        <v>0</v>
      </c>
      <c r="H340" s="404">
        <f t="shared" si="138"/>
        <v>0</v>
      </c>
      <c r="I340" s="404">
        <f t="shared" si="138"/>
        <v>0</v>
      </c>
      <c r="J340" s="404">
        <f t="shared" si="138"/>
        <v>0</v>
      </c>
      <c r="K340" s="404">
        <f t="shared" si="138"/>
        <v>0</v>
      </c>
      <c r="L340" s="404">
        <f t="shared" si="138"/>
        <v>0</v>
      </c>
      <c r="M340" s="404">
        <f t="shared" si="138"/>
        <v>0</v>
      </c>
      <c r="N340" s="404">
        <f t="shared" si="138"/>
        <v>0</v>
      </c>
      <c r="O340" s="404">
        <f t="shared" si="138"/>
        <v>0</v>
      </c>
      <c r="P340" s="404">
        <f t="shared" si="138"/>
        <v>0</v>
      </c>
      <c r="Q340" s="404">
        <f t="shared" si="138"/>
        <v>0</v>
      </c>
      <c r="R340" s="404">
        <f t="shared" si="138"/>
        <v>0</v>
      </c>
      <c r="S340" s="404"/>
      <c r="T340" s="62">
        <f>SUM(G340:R340)</f>
        <v>0</v>
      </c>
      <c r="U340" s="61" t="str">
        <f>IF(ABS(F340-T340)&lt;0.01,"ok","err")</f>
        <v>ok</v>
      </c>
      <c r="V340" s="62" t="str">
        <f>IF(U340="err",T340-F340,"")</f>
        <v/>
      </c>
    </row>
    <row r="341" spans="1:22" ht="12" customHeight="1" x14ac:dyDescent="0.2">
      <c r="F341" s="73"/>
    </row>
    <row r="342" spans="1:22" ht="12" customHeight="1" x14ac:dyDescent="0.2">
      <c r="A342" s="171" t="s">
        <v>2089</v>
      </c>
      <c r="F342" s="73"/>
    </row>
    <row r="343" spans="1:22" ht="12" customHeight="1" x14ac:dyDescent="0.2">
      <c r="A343" s="403" t="s">
        <v>504</v>
      </c>
      <c r="C343" s="55" t="s">
        <v>1042</v>
      </c>
      <c r="D343" s="55" t="s">
        <v>2143</v>
      </c>
      <c r="E343" s="55" t="s">
        <v>509</v>
      </c>
      <c r="F343" s="404">
        <f>VLOOKUP(C343,'Functional Assignment'!$C$1:$AU$773,34,)</f>
        <v>0</v>
      </c>
      <c r="G343" s="404">
        <f t="shared" ref="G343:R343" si="139">IF(VLOOKUP($E343,$D$5:$AH$1237,3,)=0,0,(VLOOKUP($E343,$D$5:$AH$1237,G$1,)/VLOOKUP($E343,$D$5:$AH$1237,3,))*$F343)</f>
        <v>0</v>
      </c>
      <c r="H343" s="404">
        <f t="shared" si="139"/>
        <v>0</v>
      </c>
      <c r="I343" s="404">
        <f t="shared" si="139"/>
        <v>0</v>
      </c>
      <c r="J343" s="404">
        <f t="shared" si="139"/>
        <v>0</v>
      </c>
      <c r="K343" s="404">
        <f t="shared" si="139"/>
        <v>0</v>
      </c>
      <c r="L343" s="404">
        <f t="shared" si="139"/>
        <v>0</v>
      </c>
      <c r="M343" s="404">
        <f t="shared" si="139"/>
        <v>0</v>
      </c>
      <c r="N343" s="404">
        <f t="shared" si="139"/>
        <v>0</v>
      </c>
      <c r="O343" s="404">
        <f t="shared" si="139"/>
        <v>0</v>
      </c>
      <c r="P343" s="404">
        <f t="shared" si="139"/>
        <v>0</v>
      </c>
      <c r="Q343" s="404">
        <f t="shared" si="139"/>
        <v>0</v>
      </c>
      <c r="R343" s="404">
        <f t="shared" si="139"/>
        <v>0</v>
      </c>
      <c r="S343" s="404"/>
      <c r="T343" s="62">
        <f>SUM(G343:R343)</f>
        <v>0</v>
      </c>
      <c r="U343" s="61" t="str">
        <f>IF(ABS(F343-T343)&lt;0.01,"ok","err")</f>
        <v>ok</v>
      </c>
      <c r="V343" s="62" t="str">
        <f>IF(U343="err",T343-F343,"")</f>
        <v/>
      </c>
    </row>
    <row r="344" spans="1:22" ht="12" customHeight="1" x14ac:dyDescent="0.2">
      <c r="F344" s="73"/>
    </row>
    <row r="345" spans="1:22" ht="12" customHeight="1" x14ac:dyDescent="0.2">
      <c r="A345" s="55" t="s">
        <v>82</v>
      </c>
      <c r="D345" s="55" t="s">
        <v>2144</v>
      </c>
      <c r="F345" s="404">
        <f>F300+F306+F309+F312+F320+F325+F328+F331+F334+F337+F340+F343</f>
        <v>167700748.64225844</v>
      </c>
      <c r="G345" s="404">
        <f t="shared" ref="G345:R345" si="140">G300+G306+G309+G312+G320+G325+G328+G331+G334+G337+G340+G343</f>
        <v>73699223.710939452</v>
      </c>
      <c r="H345" s="404">
        <f t="shared" si="140"/>
        <v>21121073.846467357</v>
      </c>
      <c r="I345" s="404">
        <f>I300+I306+I309+I312+I320+I325+I328+I331+I334+I337+I340+I343</f>
        <v>1274519.9907020095</v>
      </c>
      <c r="J345" s="404">
        <f t="shared" si="140"/>
        <v>22564394.612155128</v>
      </c>
      <c r="K345" s="404">
        <f t="shared" si="140"/>
        <v>5040755.816084858</v>
      </c>
      <c r="L345" s="404">
        <f t="shared" si="140"/>
        <v>3471937.4855865487</v>
      </c>
      <c r="M345" s="404">
        <f>M300+M306+M309+M312+M320+M325+M328+M331+M334+M337+M340+M343</f>
        <v>24487872.458493497</v>
      </c>
      <c r="N345" s="404">
        <f>N300+N306+N309+N312+N320+N325+N328+N331+N334+N337+N340+N343</f>
        <v>9654543.188335469</v>
      </c>
      <c r="O345" s="404">
        <f t="shared" si="140"/>
        <v>2848821.339736606</v>
      </c>
      <c r="P345" s="404">
        <f t="shared" si="140"/>
        <v>3524368.0260045133</v>
      </c>
      <c r="Q345" s="404">
        <f t="shared" si="140"/>
        <v>232.02731947284468</v>
      </c>
      <c r="R345" s="404">
        <f t="shared" si="140"/>
        <v>13006.140433533066</v>
      </c>
      <c r="S345" s="404"/>
      <c r="T345" s="62">
        <f>SUM(G345:R345)</f>
        <v>167700748.64225844</v>
      </c>
      <c r="U345" s="61" t="str">
        <f>IF(ABS(F345-T345)&lt;0.01,"ok","err")</f>
        <v>ok</v>
      </c>
      <c r="V345" s="405" t="str">
        <f>IF(U345="err",T345-F345,"")</f>
        <v/>
      </c>
    </row>
    <row r="348" spans="1:22" ht="12" customHeight="1" x14ac:dyDescent="0.2">
      <c r="A348" s="402" t="s">
        <v>83</v>
      </c>
    </row>
    <row r="350" spans="1:22" ht="12" customHeight="1" x14ac:dyDescent="0.2">
      <c r="A350" s="171" t="s">
        <v>166</v>
      </c>
    </row>
    <row r="351" spans="1:22" ht="12" customHeight="1" x14ac:dyDescent="0.2">
      <c r="A351" s="403" t="s">
        <v>153</v>
      </c>
      <c r="C351" s="55" t="s">
        <v>86</v>
      </c>
      <c r="D351" s="55" t="s">
        <v>89</v>
      </c>
      <c r="E351" s="55" t="s">
        <v>2831</v>
      </c>
      <c r="F351" s="404">
        <f>VLOOKUP(C351,'Functional Assignment'!$C$1:$AU$773,6,)</f>
        <v>-909554.57019806758</v>
      </c>
      <c r="G351" s="404">
        <f t="shared" ref="G351:R356" si="141">IF(VLOOKUP($E351,$D$5:$AH$1237,3,)=0,0,(VLOOKUP($E351,$D$5:$AH$1237,G$1,)/VLOOKUP($E351,$D$5:$AH$1237,3,))*$F351)</f>
        <v>-303897.82717197778</v>
      </c>
      <c r="H351" s="404">
        <f t="shared" si="141"/>
        <v>-95906.893151994751</v>
      </c>
      <c r="I351" s="404">
        <f t="shared" si="141"/>
        <v>-7987.2407289287967</v>
      </c>
      <c r="J351" s="404">
        <f t="shared" si="141"/>
        <v>-156121.99825809355</v>
      </c>
      <c r="K351" s="404">
        <f t="shared" si="141"/>
        <v>-33293.879351696072</v>
      </c>
      <c r="L351" s="404">
        <f t="shared" si="141"/>
        <v>-25234.943385296985</v>
      </c>
      <c r="M351" s="404">
        <f t="shared" si="141"/>
        <v>-181869.45681151087</v>
      </c>
      <c r="N351" s="404">
        <f t="shared" si="141"/>
        <v>-74619.769683142076</v>
      </c>
      <c r="O351" s="404">
        <f t="shared" si="141"/>
        <v>-24252.311881052028</v>
      </c>
      <c r="P351" s="404">
        <f t="shared" si="141"/>
        <v>-6307.846821312155</v>
      </c>
      <c r="Q351" s="404">
        <f t="shared" si="141"/>
        <v>-2.0511991572608572</v>
      </c>
      <c r="R351" s="404">
        <f t="shared" si="141"/>
        <v>-60.351753905204731</v>
      </c>
      <c r="S351" s="404"/>
      <c r="T351" s="62">
        <f t="shared" ref="T351:T357" si="142">SUM(G351:R351)</f>
        <v>-909554.57019806758</v>
      </c>
      <c r="U351" s="61" t="str">
        <f t="shared" ref="U351:U357" si="143">IF(ABS(F351-T351)&lt;0.01,"ok","err")</f>
        <v>ok</v>
      </c>
      <c r="V351" s="62" t="str">
        <f t="shared" ref="V351:V357" si="144">IF(U351="err",T351-F351,"")</f>
        <v/>
      </c>
    </row>
    <row r="352" spans="1:22" ht="12" customHeight="1" x14ac:dyDescent="0.2">
      <c r="A352" s="403" t="s">
        <v>157</v>
      </c>
      <c r="C352" s="55" t="s">
        <v>86</v>
      </c>
      <c r="D352" s="55" t="s">
        <v>90</v>
      </c>
      <c r="E352" s="55" t="s">
        <v>59</v>
      </c>
      <c r="F352" s="73">
        <f>VLOOKUP(C352,'Functional Assignment'!$C$1:$AU$773,7,)</f>
        <v>-857416.85450197977</v>
      </c>
      <c r="G352" s="73">
        <f t="shared" si="141"/>
        <v>-391579.96928238065</v>
      </c>
      <c r="H352" s="73">
        <f t="shared" si="141"/>
        <v>-108140.75106733535</v>
      </c>
      <c r="I352" s="73">
        <f t="shared" si="141"/>
        <v>-7290.6818366818889</v>
      </c>
      <c r="J352" s="73">
        <f t="shared" si="141"/>
        <v>-108656.48656217568</v>
      </c>
      <c r="K352" s="73">
        <f t="shared" si="141"/>
        <v>-24127.710871835414</v>
      </c>
      <c r="L352" s="73">
        <f t="shared" si="141"/>
        <v>-16159.815874559154</v>
      </c>
      <c r="M352" s="73">
        <f t="shared" si="141"/>
        <v>-129570.54703098771</v>
      </c>
      <c r="N352" s="73">
        <f t="shared" si="141"/>
        <v>-57728.613136532244</v>
      </c>
      <c r="O352" s="73">
        <f t="shared" si="141"/>
        <v>-14129.041622302751</v>
      </c>
      <c r="P352" s="73">
        <f t="shared" si="141"/>
        <v>0</v>
      </c>
      <c r="Q352" s="73">
        <f t="shared" si="141"/>
        <v>0</v>
      </c>
      <c r="R352" s="73">
        <f t="shared" si="141"/>
        <v>-33.237217189075714</v>
      </c>
      <c r="S352" s="73"/>
      <c r="T352" s="73">
        <f t="shared" si="142"/>
        <v>-857416.85450197989</v>
      </c>
      <c r="U352" s="61" t="str">
        <f t="shared" si="143"/>
        <v>ok</v>
      </c>
      <c r="V352" s="62" t="str">
        <f t="shared" si="144"/>
        <v/>
      </c>
    </row>
    <row r="353" spans="1:22" ht="12" customHeight="1" x14ac:dyDescent="0.2">
      <c r="A353" s="403" t="s">
        <v>154</v>
      </c>
      <c r="C353" s="55" t="s">
        <v>86</v>
      </c>
      <c r="D353" s="55" t="s">
        <v>91</v>
      </c>
      <c r="E353" s="55" t="s">
        <v>62</v>
      </c>
      <c r="F353" s="73">
        <f>VLOOKUP(C353,'Functional Assignment'!$C$1:$AU$773,8,)</f>
        <v>-880573.02866408241</v>
      </c>
      <c r="G353" s="73">
        <f t="shared" si="141"/>
        <v>-350570.09785399039</v>
      </c>
      <c r="H353" s="73">
        <f t="shared" si="141"/>
        <v>-106403.38027011137</v>
      </c>
      <c r="I353" s="73">
        <f t="shared" si="141"/>
        <v>-6076.2227820336848</v>
      </c>
      <c r="J353" s="73">
        <f t="shared" si="141"/>
        <v>-138019.9364449062</v>
      </c>
      <c r="K353" s="73">
        <f t="shared" si="141"/>
        <v>-34946.851790321205</v>
      </c>
      <c r="L353" s="73">
        <f t="shared" si="141"/>
        <v>-21596.337932052527</v>
      </c>
      <c r="M353" s="73">
        <f t="shared" si="141"/>
        <v>-143665.46721375411</v>
      </c>
      <c r="N353" s="73">
        <f t="shared" si="141"/>
        <v>-60511.235645983936</v>
      </c>
      <c r="O353" s="73">
        <f t="shared" si="141"/>
        <v>-18750.112701517373</v>
      </c>
      <c r="P353" s="73">
        <f t="shared" si="141"/>
        <v>0</v>
      </c>
      <c r="Q353" s="73">
        <f t="shared" si="141"/>
        <v>0</v>
      </c>
      <c r="R353" s="73">
        <f t="shared" si="141"/>
        <v>-33.386029411787398</v>
      </c>
      <c r="S353" s="73"/>
      <c r="T353" s="73">
        <f t="shared" si="142"/>
        <v>-880573.02866408264</v>
      </c>
      <c r="U353" s="61" t="str">
        <f t="shared" si="143"/>
        <v>ok</v>
      </c>
      <c r="V353" s="62" t="str">
        <f t="shared" si="144"/>
        <v/>
      </c>
    </row>
    <row r="354" spans="1:22" ht="12" customHeight="1" x14ac:dyDescent="0.2">
      <c r="A354" s="403" t="s">
        <v>155</v>
      </c>
      <c r="C354" s="55" t="s">
        <v>86</v>
      </c>
      <c r="D354" s="55" t="s">
        <v>92</v>
      </c>
      <c r="E354" s="55" t="s">
        <v>502</v>
      </c>
      <c r="F354" s="73">
        <f>VLOOKUP(C354,'Functional Assignment'!$C$1:$AU$773,9,)</f>
        <v>0</v>
      </c>
      <c r="G354" s="73">
        <f t="shared" si="141"/>
        <v>0</v>
      </c>
      <c r="H354" s="73">
        <f t="shared" si="141"/>
        <v>0</v>
      </c>
      <c r="I354" s="73">
        <f t="shared" si="141"/>
        <v>0</v>
      </c>
      <c r="J354" s="73">
        <f t="shared" si="141"/>
        <v>0</v>
      </c>
      <c r="K354" s="73">
        <f t="shared" si="141"/>
        <v>0</v>
      </c>
      <c r="L354" s="73">
        <f t="shared" si="141"/>
        <v>0</v>
      </c>
      <c r="M354" s="73">
        <f t="shared" si="141"/>
        <v>0</v>
      </c>
      <c r="N354" s="73">
        <f t="shared" si="141"/>
        <v>0</v>
      </c>
      <c r="O354" s="73">
        <f t="shared" si="141"/>
        <v>0</v>
      </c>
      <c r="P354" s="73">
        <f t="shared" si="141"/>
        <v>0</v>
      </c>
      <c r="Q354" s="73">
        <f t="shared" si="141"/>
        <v>0</v>
      </c>
      <c r="R354" s="73">
        <f t="shared" si="141"/>
        <v>0</v>
      </c>
      <c r="S354" s="73"/>
      <c r="T354" s="73">
        <f t="shared" si="142"/>
        <v>0</v>
      </c>
      <c r="U354" s="61" t="str">
        <f t="shared" si="143"/>
        <v>ok</v>
      </c>
      <c r="V354" s="62" t="str">
        <f t="shared" si="144"/>
        <v/>
      </c>
    </row>
    <row r="355" spans="1:22" ht="12" customHeight="1" x14ac:dyDescent="0.2">
      <c r="A355" s="403" t="s">
        <v>158</v>
      </c>
      <c r="C355" s="55" t="s">
        <v>86</v>
      </c>
      <c r="D355" s="55" t="s">
        <v>93</v>
      </c>
      <c r="E355" s="55" t="s">
        <v>502</v>
      </c>
      <c r="F355" s="73">
        <f>VLOOKUP(C355,'Functional Assignment'!$C$1:$AU$773,10,)</f>
        <v>0</v>
      </c>
      <c r="G355" s="73">
        <f t="shared" si="141"/>
        <v>0</v>
      </c>
      <c r="H355" s="73">
        <f t="shared" si="141"/>
        <v>0</v>
      </c>
      <c r="I355" s="73">
        <f t="shared" si="141"/>
        <v>0</v>
      </c>
      <c r="J355" s="73">
        <f t="shared" si="141"/>
        <v>0</v>
      </c>
      <c r="K355" s="73">
        <f t="shared" si="141"/>
        <v>0</v>
      </c>
      <c r="L355" s="73">
        <f t="shared" si="141"/>
        <v>0</v>
      </c>
      <c r="M355" s="73">
        <f t="shared" si="141"/>
        <v>0</v>
      </c>
      <c r="N355" s="73">
        <f t="shared" si="141"/>
        <v>0</v>
      </c>
      <c r="O355" s="73">
        <f t="shared" si="141"/>
        <v>0</v>
      </c>
      <c r="P355" s="73">
        <f t="shared" si="141"/>
        <v>0</v>
      </c>
      <c r="Q355" s="73">
        <f t="shared" si="141"/>
        <v>0</v>
      </c>
      <c r="R355" s="73">
        <f t="shared" si="141"/>
        <v>0</v>
      </c>
      <c r="S355" s="73"/>
      <c r="T355" s="73">
        <f t="shared" si="142"/>
        <v>0</v>
      </c>
      <c r="U355" s="61" t="str">
        <f t="shared" si="143"/>
        <v>ok</v>
      </c>
      <c r="V355" s="62" t="str">
        <f t="shared" si="144"/>
        <v/>
      </c>
    </row>
    <row r="356" spans="1:22" ht="12" customHeight="1" x14ac:dyDescent="0.2">
      <c r="A356" s="403" t="s">
        <v>156</v>
      </c>
      <c r="C356" s="55" t="s">
        <v>86</v>
      </c>
      <c r="D356" s="55" t="s">
        <v>94</v>
      </c>
      <c r="E356" s="55" t="s">
        <v>502</v>
      </c>
      <c r="F356" s="73">
        <f>VLOOKUP(C356,'Functional Assignment'!$C$1:$AU$773,11,)</f>
        <v>0</v>
      </c>
      <c r="G356" s="73">
        <f t="shared" si="141"/>
        <v>0</v>
      </c>
      <c r="H356" s="73">
        <f t="shared" si="141"/>
        <v>0</v>
      </c>
      <c r="I356" s="73">
        <f t="shared" si="141"/>
        <v>0</v>
      </c>
      <c r="J356" s="73">
        <f t="shared" si="141"/>
        <v>0</v>
      </c>
      <c r="K356" s="73">
        <f t="shared" si="141"/>
        <v>0</v>
      </c>
      <c r="L356" s="73">
        <f t="shared" si="141"/>
        <v>0</v>
      </c>
      <c r="M356" s="73">
        <f t="shared" si="141"/>
        <v>0</v>
      </c>
      <c r="N356" s="73">
        <f t="shared" si="141"/>
        <v>0</v>
      </c>
      <c r="O356" s="73">
        <f t="shared" si="141"/>
        <v>0</v>
      </c>
      <c r="P356" s="73">
        <f t="shared" si="141"/>
        <v>0</v>
      </c>
      <c r="Q356" s="73">
        <f t="shared" si="141"/>
        <v>0</v>
      </c>
      <c r="R356" s="73">
        <f t="shared" si="141"/>
        <v>0</v>
      </c>
      <c r="S356" s="73"/>
      <c r="T356" s="73">
        <f t="shared" si="142"/>
        <v>0</v>
      </c>
      <c r="U356" s="61" t="str">
        <f t="shared" si="143"/>
        <v>ok</v>
      </c>
      <c r="V356" s="62" t="str">
        <f t="shared" si="144"/>
        <v/>
      </c>
    </row>
    <row r="357" spans="1:22" ht="12" customHeight="1" x14ac:dyDescent="0.2">
      <c r="A357" s="55" t="s">
        <v>189</v>
      </c>
      <c r="D357" s="55" t="s">
        <v>95</v>
      </c>
      <c r="F357" s="404">
        <f t="shared" ref="F357:R357" si="145">SUM(F351:F356)</f>
        <v>-2647544.4533641296</v>
      </c>
      <c r="G357" s="404">
        <f t="shared" si="145"/>
        <v>-1046047.8943083488</v>
      </c>
      <c r="H357" s="404">
        <f t="shared" si="145"/>
        <v>-310451.02448944148</v>
      </c>
      <c r="I357" s="404">
        <f>SUM(I351:I356)</f>
        <v>-21354.145347644371</v>
      </c>
      <c r="J357" s="404">
        <f t="shared" si="145"/>
        <v>-402798.42126517545</v>
      </c>
      <c r="K357" s="404">
        <f t="shared" si="145"/>
        <v>-92368.442013852691</v>
      </c>
      <c r="L357" s="404">
        <f t="shared" si="145"/>
        <v>-62991.097191908666</v>
      </c>
      <c r="M357" s="404">
        <f t="shared" si="145"/>
        <v>-455105.47105625272</v>
      </c>
      <c r="N357" s="404">
        <f>SUM(N351:N356)</f>
        <v>-192859.61846565828</v>
      </c>
      <c r="O357" s="404">
        <f t="shared" si="145"/>
        <v>-57131.466204872151</v>
      </c>
      <c r="P357" s="404">
        <f t="shared" si="145"/>
        <v>-6307.846821312155</v>
      </c>
      <c r="Q357" s="404">
        <f t="shared" si="145"/>
        <v>-2.0511991572608572</v>
      </c>
      <c r="R357" s="404">
        <f t="shared" si="145"/>
        <v>-126.97500050606786</v>
      </c>
      <c r="S357" s="404"/>
      <c r="T357" s="62">
        <f t="shared" si="142"/>
        <v>-2647544.453364131</v>
      </c>
      <c r="U357" s="61" t="str">
        <f t="shared" si="143"/>
        <v>ok</v>
      </c>
      <c r="V357" s="62" t="str">
        <f t="shared" si="144"/>
        <v/>
      </c>
    </row>
    <row r="358" spans="1:22" ht="12" customHeight="1" x14ac:dyDescent="0.2">
      <c r="F358" s="73"/>
      <c r="G358" s="73"/>
    </row>
    <row r="359" spans="1:22" ht="12" customHeight="1" x14ac:dyDescent="0.2">
      <c r="A359" s="171" t="s">
        <v>554</v>
      </c>
      <c r="F359" s="73"/>
      <c r="G359" s="73"/>
    </row>
    <row r="360" spans="1:22" ht="12" customHeight="1" x14ac:dyDescent="0.2">
      <c r="A360" s="403" t="s">
        <v>159</v>
      </c>
      <c r="C360" s="55" t="s">
        <v>86</v>
      </c>
      <c r="D360" s="55" t="s">
        <v>96</v>
      </c>
      <c r="E360" s="55" t="s">
        <v>2831</v>
      </c>
      <c r="F360" s="404">
        <f>VLOOKUP(C360,'Functional Assignment'!$C$1:$AU$773,13,)</f>
        <v>-1856.3914209036172</v>
      </c>
      <c r="G360" s="404">
        <f t="shared" ref="G360:R362" si="146">IF(VLOOKUP($E360,$D$5:$AH$1237,3,)=0,0,(VLOOKUP($E360,$D$5:$AH$1237,G$1,)/VLOOKUP($E360,$D$5:$AH$1237,3,))*$F360)</f>
        <v>-620.25230555485837</v>
      </c>
      <c r="H360" s="404">
        <f t="shared" si="146"/>
        <v>-195.74497175481423</v>
      </c>
      <c r="I360" s="404">
        <f t="shared" si="146"/>
        <v>-16.30187528236651</v>
      </c>
      <c r="J360" s="404">
        <f t="shared" si="146"/>
        <v>-318.64337520457013</v>
      </c>
      <c r="K360" s="404">
        <f t="shared" si="146"/>
        <v>-67.952461591864136</v>
      </c>
      <c r="L360" s="404">
        <f t="shared" si="146"/>
        <v>-51.504257075254415</v>
      </c>
      <c r="M360" s="404">
        <f t="shared" si="146"/>
        <v>-371.19367040920736</v>
      </c>
      <c r="N360" s="404">
        <f t="shared" si="146"/>
        <v>-152.29817408253302</v>
      </c>
      <c r="O360" s="404">
        <f t="shared" si="146"/>
        <v>-49.498716391760595</v>
      </c>
      <c r="P360" s="404">
        <f t="shared" si="146"/>
        <v>-12.874249778007343</v>
      </c>
      <c r="Q360" s="404">
        <f t="shared" si="146"/>
        <v>-4.1864761531290864E-3</v>
      </c>
      <c r="R360" s="404">
        <f t="shared" si="146"/>
        <v>-0.12317730222795868</v>
      </c>
      <c r="S360" s="404"/>
      <c r="T360" s="62">
        <f>SUM(G360:R360)</f>
        <v>-1856.3914209036175</v>
      </c>
      <c r="U360" s="61" t="str">
        <f>IF(ABS(F360-T360)&lt;0.01,"ok","err")</f>
        <v>ok</v>
      </c>
      <c r="V360" s="62" t="str">
        <f>IF(U360="err",T360-F360,"")</f>
        <v/>
      </c>
    </row>
    <row r="361" spans="1:22" ht="12" customHeight="1" x14ac:dyDescent="0.2">
      <c r="A361" s="403" t="s">
        <v>161</v>
      </c>
      <c r="C361" s="55" t="s">
        <v>86</v>
      </c>
      <c r="D361" s="55" t="s">
        <v>97</v>
      </c>
      <c r="E361" s="55" t="s">
        <v>59</v>
      </c>
      <c r="F361" s="73">
        <f>VLOOKUP(C361,'Functional Assignment'!$C$1:$AU$773,14,)</f>
        <v>-1749.9788852570177</v>
      </c>
      <c r="G361" s="73">
        <f t="shared" si="146"/>
        <v>-799.21064594861593</v>
      </c>
      <c r="H361" s="73">
        <f t="shared" si="146"/>
        <v>-220.71414856148621</v>
      </c>
      <c r="I361" s="73">
        <f t="shared" si="146"/>
        <v>-14.88020582559087</v>
      </c>
      <c r="J361" s="73">
        <f t="shared" si="146"/>
        <v>-221.76675934422195</v>
      </c>
      <c r="K361" s="73">
        <f t="shared" si="146"/>
        <v>-49.244407027457932</v>
      </c>
      <c r="L361" s="73">
        <f t="shared" si="146"/>
        <v>-32.982016182251748</v>
      </c>
      <c r="M361" s="73">
        <f t="shared" si="146"/>
        <v>-264.45213931225135</v>
      </c>
      <c r="N361" s="73">
        <f t="shared" si="146"/>
        <v>-117.82349919256114</v>
      </c>
      <c r="O361" s="73">
        <f t="shared" si="146"/>
        <v>-28.83722704787381</v>
      </c>
      <c r="P361" s="73">
        <f t="shared" si="146"/>
        <v>0</v>
      </c>
      <c r="Q361" s="73">
        <f t="shared" si="146"/>
        <v>0</v>
      </c>
      <c r="R361" s="73">
        <f t="shared" si="146"/>
        <v>-6.7836814707086912E-2</v>
      </c>
      <c r="S361" s="73"/>
      <c r="T361" s="73">
        <f>SUM(G361:R361)</f>
        <v>-1749.9788852570182</v>
      </c>
      <c r="U361" s="61" t="str">
        <f>IF(ABS(F361-T361)&lt;0.01,"ok","err")</f>
        <v>ok</v>
      </c>
      <c r="V361" s="62" t="str">
        <f>IF(U361="err",T361-F361,"")</f>
        <v/>
      </c>
    </row>
    <row r="362" spans="1:22" ht="12" customHeight="1" x14ac:dyDescent="0.2">
      <c r="A362" s="403" t="s">
        <v>160</v>
      </c>
      <c r="C362" s="55" t="s">
        <v>86</v>
      </c>
      <c r="D362" s="55" t="s">
        <v>98</v>
      </c>
      <c r="E362" s="55" t="s">
        <v>62</v>
      </c>
      <c r="F362" s="73">
        <f>VLOOKUP(C362,'Functional Assignment'!$C$1:$AU$773,15,)</f>
        <v>-1797.2403959612259</v>
      </c>
      <c r="G362" s="73">
        <f t="shared" si="146"/>
        <v>-715.50992475335488</v>
      </c>
      <c r="H362" s="73">
        <f t="shared" si="146"/>
        <v>-217.16819282823897</v>
      </c>
      <c r="I362" s="73">
        <f t="shared" si="146"/>
        <v>-12.401507522094144</v>
      </c>
      <c r="J362" s="73">
        <f t="shared" si="146"/>
        <v>-281.69725525560415</v>
      </c>
      <c r="K362" s="73">
        <f t="shared" si="146"/>
        <v>-71.326161152722378</v>
      </c>
      <c r="L362" s="73">
        <f t="shared" si="146"/>
        <v>-44.07790117669056</v>
      </c>
      <c r="M362" s="73">
        <f t="shared" si="146"/>
        <v>-293.21972485680072</v>
      </c>
      <c r="N362" s="73">
        <f t="shared" si="146"/>
        <v>-123.50280280271676</v>
      </c>
      <c r="O362" s="73">
        <f t="shared" si="146"/>
        <v>-38.268785074097309</v>
      </c>
      <c r="P362" s="73">
        <f t="shared" si="146"/>
        <v>0</v>
      </c>
      <c r="Q362" s="73">
        <f t="shared" si="146"/>
        <v>0</v>
      </c>
      <c r="R362" s="73">
        <f t="shared" si="146"/>
        <v>-6.814053890640287E-2</v>
      </c>
      <c r="S362" s="73"/>
      <c r="T362" s="73">
        <f>SUM(G362:R362)</f>
        <v>-1797.2403959612261</v>
      </c>
      <c r="U362" s="61" t="str">
        <f>IF(ABS(F362-T362)&lt;0.01,"ok","err")</f>
        <v>ok</v>
      </c>
      <c r="V362" s="62" t="str">
        <f>IF(U362="err",T362-F362,"")</f>
        <v/>
      </c>
    </row>
    <row r="363" spans="1:22" ht="12" customHeight="1" x14ac:dyDescent="0.2">
      <c r="A363" s="55" t="s">
        <v>556</v>
      </c>
      <c r="D363" s="55" t="s">
        <v>99</v>
      </c>
      <c r="F363" s="404">
        <f t="shared" ref="F363:R363" si="147">SUM(F360:F362)</f>
        <v>-5403.6107021218604</v>
      </c>
      <c r="G363" s="404">
        <f t="shared" si="147"/>
        <v>-2134.9728762568293</v>
      </c>
      <c r="H363" s="404">
        <f t="shared" si="147"/>
        <v>-633.62731314453936</v>
      </c>
      <c r="I363" s="404">
        <f>SUM(I360:I362)</f>
        <v>-43.583588630051523</v>
      </c>
      <c r="J363" s="404">
        <f t="shared" si="147"/>
        <v>-822.10738980439623</v>
      </c>
      <c r="K363" s="404">
        <f t="shared" si="147"/>
        <v>-188.52302977204442</v>
      </c>
      <c r="L363" s="404">
        <f t="shared" si="147"/>
        <v>-128.56417443419673</v>
      </c>
      <c r="M363" s="404">
        <f t="shared" si="147"/>
        <v>-928.86553457825948</v>
      </c>
      <c r="N363" s="404">
        <f>SUM(N360:N362)</f>
        <v>-393.62447607781093</v>
      </c>
      <c r="O363" s="404">
        <f t="shared" si="147"/>
        <v>-116.60472851373171</v>
      </c>
      <c r="P363" s="404">
        <f t="shared" si="147"/>
        <v>-12.874249778007343</v>
      </c>
      <c r="Q363" s="404">
        <f t="shared" si="147"/>
        <v>-4.1864761531290864E-3</v>
      </c>
      <c r="R363" s="404">
        <f t="shared" si="147"/>
        <v>-0.25915465584144848</v>
      </c>
      <c r="S363" s="404"/>
      <c r="T363" s="62">
        <f>SUM(G363:R363)</f>
        <v>-5403.6107021218622</v>
      </c>
      <c r="U363" s="61" t="str">
        <f>IF(ABS(F363-T363)&lt;0.01,"ok","err")</f>
        <v>ok</v>
      </c>
      <c r="V363" s="62" t="str">
        <f>IF(U363="err",T363-F363,"")</f>
        <v/>
      </c>
    </row>
    <row r="364" spans="1:22" ht="12" customHeight="1" x14ac:dyDescent="0.2">
      <c r="F364" s="73"/>
      <c r="G364" s="73"/>
    </row>
    <row r="365" spans="1:22" ht="12" customHeight="1" x14ac:dyDescent="0.2">
      <c r="A365" s="171" t="s">
        <v>2087</v>
      </c>
      <c r="F365" s="73"/>
      <c r="G365" s="73"/>
    </row>
    <row r="366" spans="1:22" ht="12" customHeight="1" x14ac:dyDescent="0.2">
      <c r="A366" s="403" t="s">
        <v>174</v>
      </c>
      <c r="C366" s="55" t="s">
        <v>86</v>
      </c>
      <c r="D366" s="55" t="s">
        <v>100</v>
      </c>
      <c r="E366" s="55" t="s">
        <v>2730</v>
      </c>
      <c r="F366" s="404">
        <f>VLOOKUP(C366,'Functional Assignment'!$C$1:$AU$773,17,)</f>
        <v>0</v>
      </c>
      <c r="G366" s="404">
        <f t="shared" ref="G366:R366" si="148">IF(VLOOKUP($E366,$D$5:$AH$1237,3,)=0,0,(VLOOKUP($E366,$D$5:$AH$1237,G$1,)/VLOOKUP($E366,$D$5:$AH$1237,3,))*$F366)</f>
        <v>0</v>
      </c>
      <c r="H366" s="404">
        <f t="shared" si="148"/>
        <v>0</v>
      </c>
      <c r="I366" s="404">
        <f t="shared" si="148"/>
        <v>0</v>
      </c>
      <c r="J366" s="404">
        <f t="shared" si="148"/>
        <v>0</v>
      </c>
      <c r="K366" s="404">
        <f t="shared" si="148"/>
        <v>0</v>
      </c>
      <c r="L366" s="404">
        <f t="shared" si="148"/>
        <v>0</v>
      </c>
      <c r="M366" s="404">
        <f t="shared" si="148"/>
        <v>0</v>
      </c>
      <c r="N366" s="404">
        <f t="shared" si="148"/>
        <v>0</v>
      </c>
      <c r="O366" s="404">
        <f t="shared" si="148"/>
        <v>0</v>
      </c>
      <c r="P366" s="404">
        <f t="shared" si="148"/>
        <v>0</v>
      </c>
      <c r="Q366" s="404">
        <f t="shared" si="148"/>
        <v>0</v>
      </c>
      <c r="R366" s="404">
        <f t="shared" si="148"/>
        <v>0</v>
      </c>
      <c r="S366" s="404"/>
      <c r="T366" s="62">
        <f>SUM(G366:R366)</f>
        <v>0</v>
      </c>
      <c r="U366" s="61" t="str">
        <f>IF(ABS(F366-T366)&lt;0.01,"ok","err")</f>
        <v>ok</v>
      </c>
      <c r="V366" s="62" t="str">
        <f>IF(U366="err",T366-F366,"")</f>
        <v/>
      </c>
    </row>
    <row r="367" spans="1:22" ht="12" customHeight="1" x14ac:dyDescent="0.2">
      <c r="F367" s="73"/>
    </row>
    <row r="368" spans="1:22" ht="12" customHeight="1" x14ac:dyDescent="0.2">
      <c r="A368" s="171" t="s">
        <v>2088</v>
      </c>
      <c r="F368" s="73"/>
      <c r="G368" s="73"/>
    </row>
    <row r="369" spans="1:22" ht="12" customHeight="1" x14ac:dyDescent="0.2">
      <c r="A369" s="403" t="s">
        <v>176</v>
      </c>
      <c r="C369" s="55" t="s">
        <v>86</v>
      </c>
      <c r="D369" s="55" t="s">
        <v>101</v>
      </c>
      <c r="E369" s="55" t="s">
        <v>2729</v>
      </c>
      <c r="F369" s="404">
        <f>VLOOKUP(C369,'Functional Assignment'!$C$1:$AU$773,18,)</f>
        <v>-1347.4856788016193</v>
      </c>
      <c r="G369" s="404">
        <f t="shared" ref="G369:R369" si="149">IF(VLOOKUP($E369,$D$5:$AH$1237,3,)=0,0,(VLOOKUP($E369,$D$5:$AH$1237,G$1,)/VLOOKUP($E369,$D$5:$AH$1237,3,))*$F369)</f>
        <v>-609.52528610404045</v>
      </c>
      <c r="H369" s="404">
        <f t="shared" si="149"/>
        <v>-186.86901180084146</v>
      </c>
      <c r="I369" s="404">
        <f t="shared" si="149"/>
        <v>-17.597889205275649</v>
      </c>
      <c r="J369" s="404">
        <f t="shared" si="149"/>
        <v>-206.35025190812499</v>
      </c>
      <c r="K369" s="404">
        <f t="shared" si="149"/>
        <v>-51.461166333032352</v>
      </c>
      <c r="L369" s="404">
        <f t="shared" si="149"/>
        <v>-30.522046674121938</v>
      </c>
      <c r="M369" s="404">
        <f t="shared" si="149"/>
        <v>-234.7220017936628</v>
      </c>
      <c r="N369" s="404">
        <f t="shared" si="149"/>
        <v>0</v>
      </c>
      <c r="O369" s="404">
        <f t="shared" si="149"/>
        <v>0</v>
      </c>
      <c r="P369" s="404">
        <f t="shared" si="149"/>
        <v>-10.383178837795034</v>
      </c>
      <c r="Q369" s="404">
        <f t="shared" si="149"/>
        <v>-3.3768611492222557E-3</v>
      </c>
      <c r="R369" s="404">
        <f t="shared" si="149"/>
        <v>-5.1469283575380539E-2</v>
      </c>
      <c r="S369" s="404"/>
      <c r="T369" s="62">
        <f>SUM(G369:R369)</f>
        <v>-1347.4856788016193</v>
      </c>
      <c r="U369" s="61" t="str">
        <f>IF(ABS(F369-T369)&lt;0.01,"ok","err")</f>
        <v>ok</v>
      </c>
      <c r="V369" s="62" t="str">
        <f>IF(U369="err",T369-F369,"")</f>
        <v/>
      </c>
    </row>
    <row r="370" spans="1:22" ht="12" customHeight="1" x14ac:dyDescent="0.2">
      <c r="F370" s="73"/>
    </row>
    <row r="371" spans="1:22" ht="12" customHeight="1" x14ac:dyDescent="0.2">
      <c r="A371" s="171" t="s">
        <v>175</v>
      </c>
      <c r="F371" s="73"/>
    </row>
    <row r="372" spans="1:22" ht="12" customHeight="1" x14ac:dyDescent="0.2">
      <c r="A372" s="403" t="s">
        <v>1010</v>
      </c>
      <c r="C372" s="55" t="s">
        <v>86</v>
      </c>
      <c r="D372" s="55" t="s">
        <v>102</v>
      </c>
      <c r="E372" s="55" t="s">
        <v>2730</v>
      </c>
      <c r="F372" s="404">
        <f>VLOOKUP(C372,'Functional Assignment'!$C$1:$AU$773,19,)</f>
        <v>0</v>
      </c>
      <c r="G372" s="404">
        <f t="shared" ref="G372:R376" si="150">IF(VLOOKUP($E372,$D$5:$AH$1237,3,)=0,0,(VLOOKUP($E372,$D$5:$AH$1237,G$1,)/VLOOKUP($E372,$D$5:$AH$1237,3,))*$F372)</f>
        <v>0</v>
      </c>
      <c r="H372" s="404">
        <f t="shared" si="150"/>
        <v>0</v>
      </c>
      <c r="I372" s="404">
        <f t="shared" si="150"/>
        <v>0</v>
      </c>
      <c r="J372" s="404">
        <f t="shared" si="150"/>
        <v>0</v>
      </c>
      <c r="K372" s="404">
        <f t="shared" si="150"/>
        <v>0</v>
      </c>
      <c r="L372" s="404">
        <f t="shared" si="150"/>
        <v>0</v>
      </c>
      <c r="M372" s="404">
        <f t="shared" si="150"/>
        <v>0</v>
      </c>
      <c r="N372" s="404">
        <f t="shared" si="150"/>
        <v>0</v>
      </c>
      <c r="O372" s="404">
        <f t="shared" si="150"/>
        <v>0</v>
      </c>
      <c r="P372" s="404">
        <f t="shared" si="150"/>
        <v>0</v>
      </c>
      <c r="Q372" s="404">
        <f t="shared" si="150"/>
        <v>0</v>
      </c>
      <c r="R372" s="404">
        <f t="shared" si="150"/>
        <v>0</v>
      </c>
      <c r="S372" s="404"/>
      <c r="T372" s="62">
        <f t="shared" ref="T372:T377" si="151">SUM(G372:R372)</f>
        <v>0</v>
      </c>
      <c r="U372" s="61" t="str">
        <f t="shared" ref="U372:U377" si="152">IF(ABS(F372-T372)&lt;0.01,"ok","err")</f>
        <v>ok</v>
      </c>
      <c r="V372" s="62" t="str">
        <f t="shared" ref="V372:V377" si="153">IF(U372="err",T372-F372,"")</f>
        <v/>
      </c>
    </row>
    <row r="373" spans="1:22" ht="12" customHeight="1" x14ac:dyDescent="0.2">
      <c r="A373" s="403" t="s">
        <v>1011</v>
      </c>
      <c r="C373" s="55" t="s">
        <v>86</v>
      </c>
      <c r="D373" s="55" t="s">
        <v>103</v>
      </c>
      <c r="E373" s="55" t="s">
        <v>2730</v>
      </c>
      <c r="F373" s="73">
        <f>VLOOKUP(C373,'Functional Assignment'!$C$1:$AU$773,20,)</f>
        <v>-2182.4360819296558</v>
      </c>
      <c r="G373" s="73">
        <f t="shared" si="150"/>
        <v>-987.20899091484716</v>
      </c>
      <c r="H373" s="73">
        <f t="shared" si="150"/>
        <v>-302.65974649273943</v>
      </c>
      <c r="I373" s="73">
        <f t="shared" si="150"/>
        <v>-28.502171838702154</v>
      </c>
      <c r="J373" s="73">
        <f t="shared" si="150"/>
        <v>-334.21226092738834</v>
      </c>
      <c r="K373" s="73">
        <f t="shared" si="150"/>
        <v>-83.348348698797665</v>
      </c>
      <c r="L373" s="73">
        <f t="shared" si="150"/>
        <v>-49.43460031069587</v>
      </c>
      <c r="M373" s="73">
        <f t="shared" si="150"/>
        <v>-380.164163520334</v>
      </c>
      <c r="N373" s="73">
        <f t="shared" si="150"/>
        <v>0</v>
      </c>
      <c r="O373" s="73">
        <f t="shared" si="150"/>
        <v>0</v>
      </c>
      <c r="P373" s="73">
        <f t="shared" si="150"/>
        <v>-16.816968445175196</v>
      </c>
      <c r="Q373" s="73">
        <f t="shared" si="150"/>
        <v>-5.4692853005186516E-3</v>
      </c>
      <c r="R373" s="73">
        <f t="shared" si="150"/>
        <v>-8.3361495675322278E-2</v>
      </c>
      <c r="S373" s="73"/>
      <c r="T373" s="73">
        <f t="shared" si="151"/>
        <v>-2182.4360819296558</v>
      </c>
      <c r="U373" s="61" t="str">
        <f t="shared" si="152"/>
        <v>ok</v>
      </c>
      <c r="V373" s="62" t="str">
        <f t="shared" si="153"/>
        <v/>
      </c>
    </row>
    <row r="374" spans="1:22" ht="12" customHeight="1" x14ac:dyDescent="0.2">
      <c r="A374" s="403" t="s">
        <v>1012</v>
      </c>
      <c r="C374" s="55" t="s">
        <v>86</v>
      </c>
      <c r="D374" s="55" t="s">
        <v>104</v>
      </c>
      <c r="E374" s="55" t="s">
        <v>1180</v>
      </c>
      <c r="F374" s="73">
        <f>VLOOKUP(C374,'Functional Assignment'!$C$1:$AU$773,21,)</f>
        <v>-3123.7222075808568</v>
      </c>
      <c r="G374" s="73">
        <f t="shared" si="150"/>
        <v>-2485.6677196803148</v>
      </c>
      <c r="H374" s="73">
        <f t="shared" si="150"/>
        <v>-485.49842302376413</v>
      </c>
      <c r="I374" s="73">
        <f t="shared" si="150"/>
        <v>-3.7845483756206799</v>
      </c>
      <c r="J374" s="73">
        <f t="shared" si="150"/>
        <v>-33.309939062298888</v>
      </c>
      <c r="K374" s="73">
        <f t="shared" si="150"/>
        <v>-1.7562669805614717</v>
      </c>
      <c r="L374" s="73">
        <f t="shared" si="150"/>
        <v>-0.8101298866563017</v>
      </c>
      <c r="M374" s="73">
        <f t="shared" si="150"/>
        <v>-0.98161723492661379</v>
      </c>
      <c r="N374" s="73">
        <f t="shared" si="150"/>
        <v>0</v>
      </c>
      <c r="O374" s="73">
        <f t="shared" si="150"/>
        <v>0</v>
      </c>
      <c r="P374" s="73">
        <f t="shared" si="150"/>
        <v>-111.46349117746011</v>
      </c>
      <c r="Q374" s="73">
        <f t="shared" si="150"/>
        <v>-7.2274361339978261E-3</v>
      </c>
      <c r="R374" s="73">
        <f t="shared" si="150"/>
        <v>-0.44284472311950313</v>
      </c>
      <c r="S374" s="73"/>
      <c r="T374" s="73">
        <f t="shared" si="151"/>
        <v>-3123.7222075808563</v>
      </c>
      <c r="U374" s="61" t="str">
        <f t="shared" si="152"/>
        <v>ok</v>
      </c>
      <c r="V374" s="62" t="str">
        <f t="shared" si="153"/>
        <v/>
      </c>
    </row>
    <row r="375" spans="1:22" ht="12" customHeight="1" x14ac:dyDescent="0.2">
      <c r="A375" s="403" t="s">
        <v>1013</v>
      </c>
      <c r="C375" s="55" t="s">
        <v>86</v>
      </c>
      <c r="D375" s="55" t="s">
        <v>105</v>
      </c>
      <c r="E375" s="55" t="s">
        <v>909</v>
      </c>
      <c r="F375" s="73">
        <f>VLOOKUP(C375,'Functional Assignment'!$C$1:$AU$773,22,)</f>
        <v>-385.13577916405688</v>
      </c>
      <c r="G375" s="73">
        <f t="shared" si="150"/>
        <v>-263.79189662114453</v>
      </c>
      <c r="H375" s="73">
        <f t="shared" si="150"/>
        <v>-61.299488071545355</v>
      </c>
      <c r="I375" s="73">
        <f t="shared" si="150"/>
        <v>-3.5992037877024319</v>
      </c>
      <c r="J375" s="73">
        <f t="shared" si="150"/>
        <v>-47.32848222021461</v>
      </c>
      <c r="K375" s="73">
        <f t="shared" si="150"/>
        <v>0</v>
      </c>
      <c r="L375" s="73">
        <f t="shared" si="150"/>
        <v>-7.1545093379275304</v>
      </c>
      <c r="M375" s="73">
        <f t="shared" si="150"/>
        <v>0</v>
      </c>
      <c r="N375" s="73">
        <f t="shared" si="150"/>
        <v>0</v>
      </c>
      <c r="O375" s="73">
        <f t="shared" si="150"/>
        <v>0</v>
      </c>
      <c r="P375" s="73">
        <f t="shared" si="150"/>
        <v>-1.950945093468484</v>
      </c>
      <c r="Q375" s="73">
        <f t="shared" si="150"/>
        <v>-6.3449457948453717E-4</v>
      </c>
      <c r="R375" s="73">
        <f t="shared" si="150"/>
        <v>-1.0619537474474817E-2</v>
      </c>
      <c r="S375" s="73"/>
      <c r="T375" s="73">
        <f t="shared" si="151"/>
        <v>-385.13577916405688</v>
      </c>
      <c r="U375" s="61" t="str">
        <f t="shared" si="152"/>
        <v>ok</v>
      </c>
      <c r="V375" s="62" t="str">
        <f t="shared" si="153"/>
        <v/>
      </c>
    </row>
    <row r="376" spans="1:22" ht="12" customHeight="1" x14ac:dyDescent="0.2">
      <c r="A376" s="403" t="s">
        <v>1014</v>
      </c>
      <c r="C376" s="55" t="s">
        <v>86</v>
      </c>
      <c r="D376" s="55" t="s">
        <v>106</v>
      </c>
      <c r="E376" s="55" t="s">
        <v>1179</v>
      </c>
      <c r="F376" s="73">
        <f>VLOOKUP(C376,'Functional Assignment'!$C$1:$AU$773,23,)</f>
        <v>-551.24509545544538</v>
      </c>
      <c r="G376" s="73">
        <f t="shared" si="150"/>
        <v>-439.03204804572346</v>
      </c>
      <c r="H376" s="73">
        <f t="shared" si="150"/>
        <v>-85.751351757710253</v>
      </c>
      <c r="I376" s="73">
        <f t="shared" si="150"/>
        <v>-0.66844735968593405</v>
      </c>
      <c r="J376" s="73">
        <f t="shared" si="150"/>
        <v>-5.8833812142357296</v>
      </c>
      <c r="K376" s="73">
        <f t="shared" si="150"/>
        <v>0</v>
      </c>
      <c r="L376" s="73">
        <f t="shared" si="150"/>
        <v>-0.14308951293277025</v>
      </c>
      <c r="M376" s="73">
        <f t="shared" si="150"/>
        <v>0</v>
      </c>
      <c r="N376" s="73">
        <f t="shared" si="150"/>
        <v>0</v>
      </c>
      <c r="O376" s="73">
        <f t="shared" si="150"/>
        <v>0</v>
      </c>
      <c r="P376" s="73">
        <f t="shared" si="150"/>
        <v>-19.687283391305606</v>
      </c>
      <c r="Q376" s="73">
        <f t="shared" si="150"/>
        <v>-1.2765487771779992E-3</v>
      </c>
      <c r="R376" s="73">
        <f t="shared" si="150"/>
        <v>-7.821762507436103E-2</v>
      </c>
      <c r="S376" s="73"/>
      <c r="T376" s="73">
        <f t="shared" si="151"/>
        <v>-551.24509545544527</v>
      </c>
      <c r="U376" s="61" t="str">
        <f t="shared" si="152"/>
        <v>ok</v>
      </c>
      <c r="V376" s="62" t="str">
        <f t="shared" si="153"/>
        <v/>
      </c>
    </row>
    <row r="377" spans="1:22" ht="12" customHeight="1" x14ac:dyDescent="0.2">
      <c r="A377" s="55" t="s">
        <v>180</v>
      </c>
      <c r="D377" s="55" t="s">
        <v>107</v>
      </c>
      <c r="F377" s="404">
        <f t="shared" ref="F377:R377" si="154">SUM(F372:F376)</f>
        <v>-6242.5391641300148</v>
      </c>
      <c r="G377" s="404">
        <f t="shared" si="154"/>
        <v>-4175.7006552620296</v>
      </c>
      <c r="H377" s="404">
        <f t="shared" si="154"/>
        <v>-935.20900934575923</v>
      </c>
      <c r="I377" s="404">
        <f>SUM(I372:I376)</f>
        <v>-36.554371361711198</v>
      </c>
      <c r="J377" s="404">
        <f t="shared" si="154"/>
        <v>-420.73406342413756</v>
      </c>
      <c r="K377" s="404">
        <f t="shared" si="154"/>
        <v>-85.104615679359142</v>
      </c>
      <c r="L377" s="404">
        <f t="shared" si="154"/>
        <v>-57.542329048212466</v>
      </c>
      <c r="M377" s="404">
        <f t="shared" si="154"/>
        <v>-381.1457807552606</v>
      </c>
      <c r="N377" s="404">
        <f>SUM(N372:N376)</f>
        <v>0</v>
      </c>
      <c r="O377" s="404">
        <f t="shared" si="154"/>
        <v>0</v>
      </c>
      <c r="P377" s="404">
        <f t="shared" si="154"/>
        <v>-149.91868810740939</v>
      </c>
      <c r="Q377" s="404">
        <f t="shared" si="154"/>
        <v>-1.4607764791179015E-2</v>
      </c>
      <c r="R377" s="404">
        <f t="shared" si="154"/>
        <v>-0.61504338134366132</v>
      </c>
      <c r="S377" s="404"/>
      <c r="T377" s="62">
        <f t="shared" si="151"/>
        <v>-6242.539164130013</v>
      </c>
      <c r="U377" s="61" t="str">
        <f t="shared" si="152"/>
        <v>ok</v>
      </c>
      <c r="V377" s="62" t="str">
        <f t="shared" si="153"/>
        <v/>
      </c>
    </row>
    <row r="378" spans="1:22" ht="12" customHeight="1" x14ac:dyDescent="0.2">
      <c r="F378" s="73"/>
    </row>
    <row r="379" spans="1:22" ht="12" customHeight="1" x14ac:dyDescent="0.2">
      <c r="A379" s="171" t="s">
        <v>1009</v>
      </c>
      <c r="F379" s="73"/>
    </row>
    <row r="380" spans="1:22" ht="12" customHeight="1" x14ac:dyDescent="0.2">
      <c r="A380" s="403" t="s">
        <v>501</v>
      </c>
      <c r="C380" s="55" t="s">
        <v>86</v>
      </c>
      <c r="D380" s="55" t="s">
        <v>108</v>
      </c>
      <c r="E380" s="55" t="s">
        <v>909</v>
      </c>
      <c r="F380" s="404">
        <f>VLOOKUP(C380,'Functional Assignment'!$C$1:$AU$773,24,)</f>
        <v>-1355.5772505810617</v>
      </c>
      <c r="G380" s="404">
        <f t="shared" ref="G380:R381" si="155">IF(VLOOKUP($E380,$D$5:$AH$1237,3,)=0,0,(VLOOKUP($E380,$D$5:$AH$1237,G$1,)/VLOOKUP($E380,$D$5:$AH$1237,3,))*$F380)</f>
        <v>-928.47850886097876</v>
      </c>
      <c r="H380" s="404">
        <f t="shared" si="155"/>
        <v>-215.75817152697056</v>
      </c>
      <c r="I380" s="404">
        <f t="shared" si="155"/>
        <v>-12.668256336517338</v>
      </c>
      <c r="J380" s="404">
        <f t="shared" si="155"/>
        <v>-166.58388358907558</v>
      </c>
      <c r="K380" s="404">
        <f t="shared" si="155"/>
        <v>0</v>
      </c>
      <c r="L380" s="404">
        <f t="shared" si="155"/>
        <v>-25.182002354117955</v>
      </c>
      <c r="M380" s="404">
        <f t="shared" si="155"/>
        <v>0</v>
      </c>
      <c r="N380" s="404">
        <f t="shared" si="155"/>
        <v>0</v>
      </c>
      <c r="O380" s="404">
        <f t="shared" si="155"/>
        <v>0</v>
      </c>
      <c r="P380" s="404">
        <f t="shared" si="155"/>
        <v>-6.8668166628893532</v>
      </c>
      <c r="Q380" s="404">
        <f t="shared" si="155"/>
        <v>-2.2332550339340322E-3</v>
      </c>
      <c r="R380" s="404">
        <f t="shared" si="155"/>
        <v>-3.7377995478210309E-2</v>
      </c>
      <c r="S380" s="404"/>
      <c r="T380" s="62">
        <f>SUM(G380:R380)</f>
        <v>-1355.5772505810614</v>
      </c>
      <c r="U380" s="61" t="str">
        <f>IF(ABS(F380-T380)&lt;0.01,"ok","err")</f>
        <v>ok</v>
      </c>
      <c r="V380" s="62" t="str">
        <f>IF(U380="err",T380-F380,"")</f>
        <v/>
      </c>
    </row>
    <row r="381" spans="1:22" ht="12" customHeight="1" x14ac:dyDescent="0.2">
      <c r="A381" s="403" t="s">
        <v>504</v>
      </c>
      <c r="C381" s="55" t="s">
        <v>86</v>
      </c>
      <c r="D381" s="55" t="s">
        <v>109</v>
      </c>
      <c r="E381" s="55" t="s">
        <v>1179</v>
      </c>
      <c r="F381" s="73">
        <f>VLOOKUP(C381,'Functional Assignment'!$C$1:$AU$773,25,)</f>
        <v>-1159.8750607588188</v>
      </c>
      <c r="G381" s="73">
        <f t="shared" si="155"/>
        <v>-923.76753571181712</v>
      </c>
      <c r="H381" s="73">
        <f t="shared" si="155"/>
        <v>-180.42945896498045</v>
      </c>
      <c r="I381" s="73">
        <f t="shared" si="155"/>
        <v>-1.4064803992300734</v>
      </c>
      <c r="J381" s="73">
        <f t="shared" si="155"/>
        <v>-12.379225138848444</v>
      </c>
      <c r="K381" s="73">
        <f t="shared" si="155"/>
        <v>0</v>
      </c>
      <c r="L381" s="73">
        <f t="shared" si="155"/>
        <v>-0.30107471046018758</v>
      </c>
      <c r="M381" s="73">
        <f t="shared" si="155"/>
        <v>0</v>
      </c>
      <c r="N381" s="73">
        <f t="shared" si="155"/>
        <v>0</v>
      </c>
      <c r="O381" s="73">
        <f t="shared" si="155"/>
        <v>0</v>
      </c>
      <c r="P381" s="73">
        <f t="shared" si="155"/>
        <v>-41.424022105448927</v>
      </c>
      <c r="Q381" s="73">
        <f t="shared" si="155"/>
        <v>-2.6859868735296549E-3</v>
      </c>
      <c r="R381" s="73">
        <f t="shared" si="155"/>
        <v>-0.16457774115990789</v>
      </c>
      <c r="S381" s="73"/>
      <c r="T381" s="73">
        <f>SUM(G381:R381)</f>
        <v>-1159.8750607588188</v>
      </c>
      <c r="U381" s="61" t="str">
        <f>IF(ABS(F381-T381)&lt;0.01,"ok","err")</f>
        <v>ok</v>
      </c>
      <c r="V381" s="62" t="str">
        <f>IF(U381="err",T381-F381,"")</f>
        <v/>
      </c>
    </row>
    <row r="382" spans="1:22" ht="12" customHeight="1" x14ac:dyDescent="0.2">
      <c r="A382" s="55" t="s">
        <v>1890</v>
      </c>
      <c r="D382" s="55" t="s">
        <v>110</v>
      </c>
      <c r="F382" s="404">
        <f t="shared" ref="F382:R382" si="156">F380+F381</f>
        <v>-2515.4523113398805</v>
      </c>
      <c r="G382" s="404">
        <f t="shared" si="156"/>
        <v>-1852.2460445727959</v>
      </c>
      <c r="H382" s="404">
        <f t="shared" si="156"/>
        <v>-396.18763049195104</v>
      </c>
      <c r="I382" s="404">
        <f>I380+I381</f>
        <v>-14.074736735747411</v>
      </c>
      <c r="J382" s="404">
        <f t="shared" si="156"/>
        <v>-178.96310872792404</v>
      </c>
      <c r="K382" s="404">
        <f t="shared" si="156"/>
        <v>0</v>
      </c>
      <c r="L382" s="404">
        <f t="shared" si="156"/>
        <v>-25.483077064578143</v>
      </c>
      <c r="M382" s="404">
        <f t="shared" si="156"/>
        <v>0</v>
      </c>
      <c r="N382" s="404">
        <f>N380+N381</f>
        <v>0</v>
      </c>
      <c r="O382" s="404">
        <f t="shared" si="156"/>
        <v>0</v>
      </c>
      <c r="P382" s="404">
        <f t="shared" si="156"/>
        <v>-48.290838768338283</v>
      </c>
      <c r="Q382" s="404">
        <f t="shared" si="156"/>
        <v>-4.9192419074636871E-3</v>
      </c>
      <c r="R382" s="404">
        <f t="shared" si="156"/>
        <v>-0.20195573663811819</v>
      </c>
      <c r="S382" s="404"/>
      <c r="T382" s="62">
        <f>SUM(G382:R382)</f>
        <v>-2515.4523113398805</v>
      </c>
      <c r="U382" s="61" t="str">
        <f>IF(ABS(F382-T382)&lt;0.01,"ok","err")</f>
        <v>ok</v>
      </c>
      <c r="V382" s="62" t="str">
        <f>IF(U382="err",T382-F382,"")</f>
        <v/>
      </c>
    </row>
    <row r="383" spans="1:22" ht="12" customHeight="1" x14ac:dyDescent="0.2">
      <c r="F383" s="73"/>
    </row>
    <row r="384" spans="1:22" ht="12" customHeight="1" x14ac:dyDescent="0.2">
      <c r="A384" s="171" t="s">
        <v>148</v>
      </c>
      <c r="F384" s="73"/>
    </row>
    <row r="385" spans="1:22" ht="12" customHeight="1" x14ac:dyDescent="0.2">
      <c r="A385" s="403" t="s">
        <v>504</v>
      </c>
      <c r="C385" s="55" t="s">
        <v>86</v>
      </c>
      <c r="D385" s="55" t="s">
        <v>111</v>
      </c>
      <c r="E385" s="55" t="s">
        <v>505</v>
      </c>
      <c r="F385" s="404">
        <f>VLOOKUP(C385,'Functional Assignment'!$C$1:$AU$773,26,)</f>
        <v>-777.53938283281366</v>
      </c>
      <c r="G385" s="404">
        <f t="shared" ref="G385:R385" si="157">IF(VLOOKUP($E385,$D$5:$AH$1237,3,)=0,0,(VLOOKUP($E385,$D$5:$AH$1237,G$1,)/VLOOKUP($E385,$D$5:$AH$1237,3,))*$F385)</f>
        <v>-457.95524960912911</v>
      </c>
      <c r="H385" s="404">
        <f t="shared" si="157"/>
        <v>-300.5515590362474</v>
      </c>
      <c r="I385" s="404">
        <f t="shared" si="157"/>
        <v>-1.4345749308515785</v>
      </c>
      <c r="J385" s="404">
        <f t="shared" si="157"/>
        <v>-16.495097090271305</v>
      </c>
      <c r="K385" s="404">
        <f t="shared" si="157"/>
        <v>0</v>
      </c>
      <c r="L385" s="404">
        <f t="shared" si="157"/>
        <v>-0.30565593394504859</v>
      </c>
      <c r="M385" s="404">
        <f t="shared" si="157"/>
        <v>0</v>
      </c>
      <c r="N385" s="404">
        <f t="shared" si="157"/>
        <v>0</v>
      </c>
      <c r="O385" s="404">
        <f t="shared" si="157"/>
        <v>0</v>
      </c>
      <c r="P385" s="404">
        <f t="shared" si="157"/>
        <v>0</v>
      </c>
      <c r="Q385" s="404">
        <f t="shared" si="157"/>
        <v>-1.1996865329768422E-2</v>
      </c>
      <c r="R385" s="404">
        <f t="shared" si="157"/>
        <v>-0.78524936703938775</v>
      </c>
      <c r="S385" s="404"/>
      <c r="T385" s="62">
        <f>SUM(G385:R385)</f>
        <v>-777.53938283281366</v>
      </c>
      <c r="U385" s="61" t="str">
        <f>IF(ABS(F385-T385)&lt;0.01,"ok","err")</f>
        <v>ok</v>
      </c>
      <c r="V385" s="62" t="str">
        <f>IF(U385="err",T385-F385,"")</f>
        <v/>
      </c>
    </row>
    <row r="386" spans="1:22" ht="12" customHeight="1" x14ac:dyDescent="0.2">
      <c r="F386" s="73"/>
    </row>
    <row r="387" spans="1:22" ht="12" customHeight="1" x14ac:dyDescent="0.2">
      <c r="A387" s="171" t="s">
        <v>147</v>
      </c>
      <c r="F387" s="73"/>
    </row>
    <row r="388" spans="1:22" ht="12" customHeight="1" x14ac:dyDescent="0.2">
      <c r="A388" s="403" t="s">
        <v>504</v>
      </c>
      <c r="C388" s="55" t="s">
        <v>86</v>
      </c>
      <c r="D388" s="55" t="s">
        <v>112</v>
      </c>
      <c r="E388" s="55" t="s">
        <v>506</v>
      </c>
      <c r="F388" s="404">
        <f>VLOOKUP(C388,'Functional Assignment'!$C$1:$AU$773,27,)</f>
        <v>-616.17664327860484</v>
      </c>
      <c r="G388" s="404">
        <f t="shared" ref="G388:R388" si="158">IF(VLOOKUP($E388,$D$5:$AH$1237,3,)=0,0,(VLOOKUP($E388,$D$5:$AH$1237,G$1,)/VLOOKUP($E388,$D$5:$AH$1237,3,))*$F388)</f>
        <v>-386.66090749572794</v>
      </c>
      <c r="H388" s="404">
        <f t="shared" si="158"/>
        <v>-140.96897608288251</v>
      </c>
      <c r="I388" s="404">
        <f t="shared" si="158"/>
        <v>-3.2944187905721871</v>
      </c>
      <c r="J388" s="404">
        <f t="shared" si="158"/>
        <v>-41.365012565486616</v>
      </c>
      <c r="K388" s="404">
        <f t="shared" si="158"/>
        <v>-15.181942833519294</v>
      </c>
      <c r="L388" s="404">
        <f t="shared" si="158"/>
        <v>-1.5553577403147114</v>
      </c>
      <c r="M388" s="404">
        <f t="shared" si="158"/>
        <v>-10.985517300486825</v>
      </c>
      <c r="N388" s="404">
        <f t="shared" si="158"/>
        <v>-14.942400905764869</v>
      </c>
      <c r="O388" s="404">
        <f t="shared" si="158"/>
        <v>-0.54897839662681835</v>
      </c>
      <c r="P388" s="404">
        <f t="shared" si="158"/>
        <v>0</v>
      </c>
      <c r="Q388" s="404">
        <f t="shared" si="158"/>
        <v>-1.01291967708013E-2</v>
      </c>
      <c r="R388" s="404">
        <f t="shared" si="158"/>
        <v>-0.66300197045244869</v>
      </c>
      <c r="S388" s="404"/>
      <c r="T388" s="62">
        <f>SUM(G388:R388)</f>
        <v>-616.17664327860496</v>
      </c>
      <c r="U388" s="61" t="str">
        <f>IF(ABS(F388-T388)&lt;0.01,"ok","err")</f>
        <v>ok</v>
      </c>
      <c r="V388" s="62" t="str">
        <f>IF(U388="err",T388-F388,"")</f>
        <v/>
      </c>
    </row>
    <row r="389" spans="1:22" ht="12" customHeight="1" x14ac:dyDescent="0.2">
      <c r="F389" s="73"/>
    </row>
    <row r="390" spans="1:22" ht="12" customHeight="1" x14ac:dyDescent="0.2">
      <c r="A390" s="171" t="s">
        <v>173</v>
      </c>
      <c r="F390" s="73"/>
    </row>
    <row r="391" spans="1:22" ht="12" customHeight="1" x14ac:dyDescent="0.2">
      <c r="A391" s="403" t="s">
        <v>504</v>
      </c>
      <c r="C391" s="55" t="s">
        <v>86</v>
      </c>
      <c r="D391" s="55" t="s">
        <v>113</v>
      </c>
      <c r="E391" s="55" t="s">
        <v>507</v>
      </c>
      <c r="F391" s="404">
        <f>VLOOKUP(C391,'Functional Assignment'!$C$1:$AU$773,28,)</f>
        <v>-904.99417675901611</v>
      </c>
      <c r="G391" s="404">
        <f t="shared" ref="G391:R391" si="159">IF(VLOOKUP($E391,$D$5:$AH$1237,3,)=0,0,(VLOOKUP($E391,$D$5:$AH$1237,G$1,)/VLOOKUP($E391,$D$5:$AH$1237,3,))*$F391)</f>
        <v>0</v>
      </c>
      <c r="H391" s="404">
        <f t="shared" si="159"/>
        <v>0</v>
      </c>
      <c r="I391" s="404">
        <f t="shared" si="159"/>
        <v>0</v>
      </c>
      <c r="J391" s="404">
        <f t="shared" si="159"/>
        <v>0</v>
      </c>
      <c r="K391" s="404">
        <f t="shared" si="159"/>
        <v>0</v>
      </c>
      <c r="L391" s="404">
        <f t="shared" si="159"/>
        <v>0</v>
      </c>
      <c r="M391" s="404">
        <f t="shared" si="159"/>
        <v>0</v>
      </c>
      <c r="N391" s="404">
        <f t="shared" si="159"/>
        <v>0</v>
      </c>
      <c r="O391" s="404">
        <f t="shared" si="159"/>
        <v>0</v>
      </c>
      <c r="P391" s="404">
        <f t="shared" si="159"/>
        <v>-904.99417675901611</v>
      </c>
      <c r="Q391" s="404">
        <f t="shared" si="159"/>
        <v>0</v>
      </c>
      <c r="R391" s="404">
        <f t="shared" si="159"/>
        <v>0</v>
      </c>
      <c r="S391" s="404"/>
      <c r="T391" s="62">
        <f>SUM(G391:R391)</f>
        <v>-904.99417675901611</v>
      </c>
      <c r="U391" s="61" t="str">
        <f>IF(ABS(F391-T391)&lt;0.01,"ok","err")</f>
        <v>ok</v>
      </c>
      <c r="V391" s="62" t="str">
        <f>IF(U391="err",T391-F391,"")</f>
        <v/>
      </c>
    </row>
    <row r="392" spans="1:22" ht="12" customHeight="1" x14ac:dyDescent="0.2">
      <c r="F392" s="73"/>
    </row>
    <row r="393" spans="1:22" ht="12" customHeight="1" x14ac:dyDescent="0.2">
      <c r="A393" s="171" t="s">
        <v>381</v>
      </c>
      <c r="F393" s="73"/>
    </row>
    <row r="394" spans="1:22" ht="12" customHeight="1" x14ac:dyDescent="0.2">
      <c r="A394" s="403" t="s">
        <v>504</v>
      </c>
      <c r="C394" s="55" t="s">
        <v>86</v>
      </c>
      <c r="D394" s="55" t="s">
        <v>114</v>
      </c>
      <c r="E394" s="55" t="s">
        <v>508</v>
      </c>
      <c r="F394" s="404">
        <f>VLOOKUP(C394,'Functional Assignment'!$C$1:$AU$773,30,)</f>
        <v>0</v>
      </c>
      <c r="G394" s="404">
        <f t="shared" ref="G394:R394" si="160">IF(VLOOKUP($E394,$D$5:$AH$1237,3,)=0,0,(VLOOKUP($E394,$D$5:$AH$1237,G$1,)/VLOOKUP($E394,$D$5:$AH$1237,3,))*$F394)</f>
        <v>0</v>
      </c>
      <c r="H394" s="404">
        <f t="shared" si="160"/>
        <v>0</v>
      </c>
      <c r="I394" s="404">
        <f t="shared" si="160"/>
        <v>0</v>
      </c>
      <c r="J394" s="404">
        <f t="shared" si="160"/>
        <v>0</v>
      </c>
      <c r="K394" s="404">
        <f t="shared" si="160"/>
        <v>0</v>
      </c>
      <c r="L394" s="404">
        <f t="shared" si="160"/>
        <v>0</v>
      </c>
      <c r="M394" s="404">
        <f t="shared" si="160"/>
        <v>0</v>
      </c>
      <c r="N394" s="404">
        <f t="shared" si="160"/>
        <v>0</v>
      </c>
      <c r="O394" s="404">
        <f t="shared" si="160"/>
        <v>0</v>
      </c>
      <c r="P394" s="404">
        <f t="shared" si="160"/>
        <v>0</v>
      </c>
      <c r="Q394" s="404">
        <f t="shared" si="160"/>
        <v>0</v>
      </c>
      <c r="R394" s="404">
        <f t="shared" si="160"/>
        <v>0</v>
      </c>
      <c r="S394" s="404"/>
      <c r="T394" s="62">
        <f>SUM(G394:R394)</f>
        <v>0</v>
      </c>
      <c r="U394" s="61" t="str">
        <f>IF(ABS(F394-T394)&lt;0.01,"ok","err")</f>
        <v>ok</v>
      </c>
      <c r="V394" s="62" t="str">
        <f>IF(U394="err",T394-F394,"")</f>
        <v/>
      </c>
    </row>
    <row r="395" spans="1:22" ht="12" customHeight="1" x14ac:dyDescent="0.2">
      <c r="F395" s="73"/>
    </row>
    <row r="396" spans="1:22" ht="12" customHeight="1" x14ac:dyDescent="0.2">
      <c r="A396" s="171" t="s">
        <v>2090</v>
      </c>
      <c r="F396" s="73"/>
    </row>
    <row r="397" spans="1:22" ht="12" customHeight="1" x14ac:dyDescent="0.2">
      <c r="A397" s="403" t="s">
        <v>504</v>
      </c>
      <c r="C397" s="55" t="s">
        <v>86</v>
      </c>
      <c r="D397" s="55" t="s">
        <v>115</v>
      </c>
      <c r="E397" s="55" t="s">
        <v>508</v>
      </c>
      <c r="F397" s="404">
        <f>VLOOKUP(C397,'Functional Assignment'!$C$1:$AU$773,32,)</f>
        <v>0</v>
      </c>
      <c r="G397" s="404">
        <f t="shared" ref="G397:R397" si="161">IF(VLOOKUP($E397,$D$5:$AH$1237,3,)=0,0,(VLOOKUP($E397,$D$5:$AH$1237,G$1,)/VLOOKUP($E397,$D$5:$AH$1237,3,))*$F397)</f>
        <v>0</v>
      </c>
      <c r="H397" s="404">
        <f t="shared" si="161"/>
        <v>0</v>
      </c>
      <c r="I397" s="404">
        <f t="shared" si="161"/>
        <v>0</v>
      </c>
      <c r="J397" s="404">
        <f t="shared" si="161"/>
        <v>0</v>
      </c>
      <c r="K397" s="404">
        <f t="shared" si="161"/>
        <v>0</v>
      </c>
      <c r="L397" s="404">
        <f t="shared" si="161"/>
        <v>0</v>
      </c>
      <c r="M397" s="404">
        <f t="shared" si="161"/>
        <v>0</v>
      </c>
      <c r="N397" s="404">
        <f t="shared" si="161"/>
        <v>0</v>
      </c>
      <c r="O397" s="404">
        <f t="shared" si="161"/>
        <v>0</v>
      </c>
      <c r="P397" s="404">
        <f t="shared" si="161"/>
        <v>0</v>
      </c>
      <c r="Q397" s="404">
        <f t="shared" si="161"/>
        <v>0</v>
      </c>
      <c r="R397" s="404">
        <f t="shared" si="161"/>
        <v>0</v>
      </c>
      <c r="S397" s="404"/>
      <c r="T397" s="62">
        <f>SUM(G397:R397)</f>
        <v>0</v>
      </c>
      <c r="U397" s="61" t="str">
        <f>IF(ABS(F397-T397)&lt;0.01,"ok","err")</f>
        <v>ok</v>
      </c>
      <c r="V397" s="62" t="str">
        <f>IF(U397="err",T397-F397,"")</f>
        <v/>
      </c>
    </row>
    <row r="398" spans="1:22" ht="12" customHeight="1" x14ac:dyDescent="0.2">
      <c r="F398" s="73"/>
    </row>
    <row r="399" spans="1:22" ht="12" customHeight="1" x14ac:dyDescent="0.2">
      <c r="A399" s="171" t="s">
        <v>2089</v>
      </c>
      <c r="F399" s="73"/>
    </row>
    <row r="400" spans="1:22" ht="12" customHeight="1" x14ac:dyDescent="0.2">
      <c r="A400" s="403" t="s">
        <v>504</v>
      </c>
      <c r="C400" s="55" t="s">
        <v>86</v>
      </c>
      <c r="D400" s="55" t="s">
        <v>2143</v>
      </c>
      <c r="E400" s="55" t="s">
        <v>509</v>
      </c>
      <c r="F400" s="404">
        <f>VLOOKUP(C400,'Functional Assignment'!$C$1:$AU$773,34,)</f>
        <v>0</v>
      </c>
      <c r="G400" s="404">
        <f t="shared" ref="G400:R400" si="162">IF(VLOOKUP($E400,$D$5:$AH$1237,3,)=0,0,(VLOOKUP($E400,$D$5:$AH$1237,G$1,)/VLOOKUP($E400,$D$5:$AH$1237,3,))*$F400)</f>
        <v>0</v>
      </c>
      <c r="H400" s="404">
        <f t="shared" si="162"/>
        <v>0</v>
      </c>
      <c r="I400" s="404">
        <f t="shared" si="162"/>
        <v>0</v>
      </c>
      <c r="J400" s="404">
        <f t="shared" si="162"/>
        <v>0</v>
      </c>
      <c r="K400" s="404">
        <f t="shared" si="162"/>
        <v>0</v>
      </c>
      <c r="L400" s="404">
        <f t="shared" si="162"/>
        <v>0</v>
      </c>
      <c r="M400" s="404">
        <f t="shared" si="162"/>
        <v>0</v>
      </c>
      <c r="N400" s="404">
        <f t="shared" si="162"/>
        <v>0</v>
      </c>
      <c r="O400" s="404">
        <f t="shared" si="162"/>
        <v>0</v>
      </c>
      <c r="P400" s="404">
        <f t="shared" si="162"/>
        <v>0</v>
      </c>
      <c r="Q400" s="404">
        <f t="shared" si="162"/>
        <v>0</v>
      </c>
      <c r="R400" s="404">
        <f t="shared" si="162"/>
        <v>0</v>
      </c>
      <c r="S400" s="404"/>
      <c r="T400" s="62">
        <f>SUM(G400:R400)</f>
        <v>0</v>
      </c>
      <c r="U400" s="61" t="str">
        <f>IF(ABS(F400-T400)&lt;0.01,"ok","err")</f>
        <v>ok</v>
      </c>
      <c r="V400" s="62" t="str">
        <f>IF(U400="err",T400-F400,"")</f>
        <v/>
      </c>
    </row>
    <row r="401" spans="1:22" ht="12" customHeight="1" x14ac:dyDescent="0.2">
      <c r="F401" s="73"/>
    </row>
    <row r="402" spans="1:22" ht="12" customHeight="1" x14ac:dyDescent="0.2">
      <c r="A402" s="55" t="s">
        <v>82</v>
      </c>
      <c r="D402" s="55" t="s">
        <v>116</v>
      </c>
      <c r="F402" s="404">
        <f>F357+F363+F366+F369+F377+F382+F385+F388+F391+F394+F397+F400</f>
        <v>-2665352.2514233929</v>
      </c>
      <c r="G402" s="404">
        <f t="shared" ref="G402:R402" si="163">G357+G363+G366+G369+G377+G382+G385+G388+G391+G394+G397+G400</f>
        <v>-1055664.9553276494</v>
      </c>
      <c r="H402" s="404">
        <f t="shared" si="163"/>
        <v>-313044.43798934371</v>
      </c>
      <c r="I402" s="404">
        <f>I357+I363+I366+I369+I377+I382+I385+I388+I391+I394+I397+I400</f>
        <v>-21470.684927298582</v>
      </c>
      <c r="J402" s="404">
        <f t="shared" si="163"/>
        <v>-404484.43618869578</v>
      </c>
      <c r="K402" s="404">
        <f t="shared" si="163"/>
        <v>-92708.712768470636</v>
      </c>
      <c r="L402" s="404">
        <f t="shared" si="163"/>
        <v>-63235.069832804038</v>
      </c>
      <c r="M402" s="404">
        <f>M357+M363+M366+M369+M377+M382+M385+M388+M391+M394+M397+M400</f>
        <v>-456661.18989068043</v>
      </c>
      <c r="N402" s="404">
        <f>N357+N363+N366+N369+N377+N382+N385+N388+N391+N394+N397+N400</f>
        <v>-193268.18534264187</v>
      </c>
      <c r="O402" s="404">
        <f t="shared" si="163"/>
        <v>-57248.619911782509</v>
      </c>
      <c r="P402" s="404">
        <f t="shared" si="163"/>
        <v>-7434.3079535627212</v>
      </c>
      <c r="Q402" s="404">
        <f t="shared" si="163"/>
        <v>-2.1004155633624215</v>
      </c>
      <c r="R402" s="404">
        <f t="shared" si="163"/>
        <v>-129.55087490095832</v>
      </c>
      <c r="S402" s="404"/>
      <c r="T402" s="62">
        <f>SUM(G402:R402)</f>
        <v>-2665352.2514233938</v>
      </c>
      <c r="U402" s="61" t="str">
        <f>IF(ABS(F402-T402)&lt;0.01,"ok","err")</f>
        <v>ok</v>
      </c>
      <c r="V402" s="62" t="str">
        <f>IF(U402="err",T402-F402,"")</f>
        <v/>
      </c>
    </row>
    <row r="405" spans="1:22" ht="12" customHeight="1" x14ac:dyDescent="0.2">
      <c r="A405" s="402" t="s">
        <v>485</v>
      </c>
    </row>
    <row r="407" spans="1:22" ht="12" customHeight="1" x14ac:dyDescent="0.2">
      <c r="A407" s="171" t="s">
        <v>166</v>
      </c>
    </row>
    <row r="408" spans="1:22" ht="12" customHeight="1" x14ac:dyDescent="0.2">
      <c r="A408" s="403" t="s">
        <v>153</v>
      </c>
      <c r="C408" s="55" t="s">
        <v>486</v>
      </c>
      <c r="D408" s="55" t="s">
        <v>2146</v>
      </c>
      <c r="E408" s="55" t="s">
        <v>2831</v>
      </c>
      <c r="F408" s="404">
        <f>VLOOKUP(C408,'Functional Assignment'!$C$1:$AU$773,6,)</f>
        <v>3869960.7348599462</v>
      </c>
      <c r="G408" s="404">
        <f t="shared" ref="G408:R413" si="164">IF(VLOOKUP($E408,$D$5:$AH$1237,3,)=0,0,(VLOOKUP($E408,$D$5:$AH$1237,G$1,)/VLOOKUP($E408,$D$5:$AH$1237,3,))*$F408)</f>
        <v>1293020.4487991333</v>
      </c>
      <c r="H408" s="404">
        <f t="shared" si="164"/>
        <v>408063.37834111898</v>
      </c>
      <c r="I408" s="404">
        <f t="shared" si="164"/>
        <v>33984.006032862271</v>
      </c>
      <c r="J408" s="404">
        <f t="shared" si="164"/>
        <v>664265.8097744761</v>
      </c>
      <c r="K408" s="404">
        <f t="shared" si="164"/>
        <v>141658.3567648615</v>
      </c>
      <c r="L408" s="404">
        <f t="shared" si="164"/>
        <v>107369.30278547958</v>
      </c>
      <c r="M408" s="404">
        <f t="shared" si="164"/>
        <v>773815.7553071127</v>
      </c>
      <c r="N408" s="404">
        <f t="shared" si="164"/>
        <v>317491.20743263129</v>
      </c>
      <c r="O408" s="404">
        <f t="shared" si="164"/>
        <v>103188.41527981155</v>
      </c>
      <c r="P408" s="404">
        <f t="shared" si="164"/>
        <v>26838.543084526875</v>
      </c>
      <c r="Q408" s="404">
        <f t="shared" si="164"/>
        <v>8.7274149985841003</v>
      </c>
      <c r="R408" s="404">
        <f t="shared" si="164"/>
        <v>256.78384293337359</v>
      </c>
      <c r="S408" s="404"/>
      <c r="T408" s="62">
        <f t="shared" ref="T408:T414" si="165">SUM(G408:R408)</f>
        <v>3869960.7348599466</v>
      </c>
      <c r="U408" s="61" t="str">
        <f t="shared" ref="U408:U414" si="166">IF(ABS(F408-T408)&lt;0.01,"ok","err")</f>
        <v>ok</v>
      </c>
      <c r="V408" s="62" t="str">
        <f t="shared" ref="V408:V414" si="167">IF(U408="err",T408-F408,"")</f>
        <v/>
      </c>
    </row>
    <row r="409" spans="1:22" ht="12" customHeight="1" x14ac:dyDescent="0.2">
      <c r="A409" s="403" t="s">
        <v>157</v>
      </c>
      <c r="C409" s="55" t="s">
        <v>486</v>
      </c>
      <c r="D409" s="55" t="s">
        <v>2147</v>
      </c>
      <c r="E409" s="55" t="s">
        <v>59</v>
      </c>
      <c r="F409" s="73">
        <f>VLOOKUP(C409,'Functional Assignment'!$C$1:$AU$773,7,)</f>
        <v>3648125.8728733654</v>
      </c>
      <c r="G409" s="73">
        <f t="shared" si="164"/>
        <v>1666089.2653757741</v>
      </c>
      <c r="H409" s="73">
        <f t="shared" si="164"/>
        <v>460115.83491655422</v>
      </c>
      <c r="I409" s="73">
        <f t="shared" si="164"/>
        <v>31020.296486632331</v>
      </c>
      <c r="J409" s="73">
        <f t="shared" si="164"/>
        <v>462310.17946717417</v>
      </c>
      <c r="K409" s="73">
        <f t="shared" si="164"/>
        <v>102658.2645565985</v>
      </c>
      <c r="L409" s="73">
        <f t="shared" si="164"/>
        <v>68756.570486465585</v>
      </c>
      <c r="M409" s="73">
        <f t="shared" si="164"/>
        <v>551295.04686569003</v>
      </c>
      <c r="N409" s="73">
        <f t="shared" si="164"/>
        <v>245622.93834404004</v>
      </c>
      <c r="O409" s="73">
        <f t="shared" si="164"/>
        <v>60116.059103090935</v>
      </c>
      <c r="P409" s="73">
        <f t="shared" si="164"/>
        <v>0</v>
      </c>
      <c r="Q409" s="73">
        <f t="shared" si="164"/>
        <v>0</v>
      </c>
      <c r="R409" s="73">
        <f t="shared" si="164"/>
        <v>141.41727134604452</v>
      </c>
      <c r="S409" s="73"/>
      <c r="T409" s="73">
        <f t="shared" si="165"/>
        <v>3648125.8728733654</v>
      </c>
      <c r="U409" s="61" t="str">
        <f t="shared" si="166"/>
        <v>ok</v>
      </c>
      <c r="V409" s="62" t="str">
        <f t="shared" si="167"/>
        <v/>
      </c>
    </row>
    <row r="410" spans="1:22" ht="12" customHeight="1" x14ac:dyDescent="0.2">
      <c r="A410" s="403" t="s">
        <v>154</v>
      </c>
      <c r="C410" s="55" t="s">
        <v>486</v>
      </c>
      <c r="D410" s="55" t="s">
        <v>2148</v>
      </c>
      <c r="E410" s="55" t="s">
        <v>62</v>
      </c>
      <c r="F410" s="73">
        <f>VLOOKUP(C410,'Functional Assignment'!$C$1:$AU$773,8,)</f>
        <v>3746650.4559089951</v>
      </c>
      <c r="G410" s="73">
        <f t="shared" si="164"/>
        <v>1491601.0077498856</v>
      </c>
      <c r="H410" s="73">
        <f t="shared" si="164"/>
        <v>452723.6926664362</v>
      </c>
      <c r="I410" s="73">
        <f t="shared" si="164"/>
        <v>25853.032190923048</v>
      </c>
      <c r="J410" s="73">
        <f t="shared" si="164"/>
        <v>587245.39700057567</v>
      </c>
      <c r="K410" s="73">
        <f t="shared" si="164"/>
        <v>148691.40199698202</v>
      </c>
      <c r="L410" s="73">
        <f t="shared" si="164"/>
        <v>91887.812509819734</v>
      </c>
      <c r="M410" s="73">
        <f t="shared" si="164"/>
        <v>611265.92651990661</v>
      </c>
      <c r="N410" s="73">
        <f t="shared" si="164"/>
        <v>257462.40373111461</v>
      </c>
      <c r="O410" s="73">
        <f t="shared" si="164"/>
        <v>79777.731107732863</v>
      </c>
      <c r="P410" s="73">
        <f t="shared" si="164"/>
        <v>0</v>
      </c>
      <c r="Q410" s="73">
        <f t="shared" si="164"/>
        <v>0</v>
      </c>
      <c r="R410" s="73">
        <f t="shared" si="164"/>
        <v>142.0504356196692</v>
      </c>
      <c r="S410" s="73"/>
      <c r="T410" s="73">
        <f t="shared" si="165"/>
        <v>3746650.4559089965</v>
      </c>
      <c r="U410" s="61" t="str">
        <f t="shared" si="166"/>
        <v>ok</v>
      </c>
      <c r="V410" s="62" t="str">
        <f t="shared" si="167"/>
        <v/>
      </c>
    </row>
    <row r="411" spans="1:22" ht="12" customHeight="1" x14ac:dyDescent="0.2">
      <c r="A411" s="403" t="s">
        <v>155</v>
      </c>
      <c r="C411" s="55" t="s">
        <v>486</v>
      </c>
      <c r="D411" s="55" t="s">
        <v>2149</v>
      </c>
      <c r="E411" s="55" t="s">
        <v>502</v>
      </c>
      <c r="F411" s="73">
        <f>VLOOKUP(C411,'Functional Assignment'!$C$1:$AU$773,9,)</f>
        <v>0</v>
      </c>
      <c r="G411" s="73">
        <f t="shared" si="164"/>
        <v>0</v>
      </c>
      <c r="H411" s="73">
        <f t="shared" si="164"/>
        <v>0</v>
      </c>
      <c r="I411" s="73">
        <f t="shared" si="164"/>
        <v>0</v>
      </c>
      <c r="J411" s="73">
        <f t="shared" si="164"/>
        <v>0</v>
      </c>
      <c r="K411" s="73">
        <f t="shared" si="164"/>
        <v>0</v>
      </c>
      <c r="L411" s="73">
        <f t="shared" si="164"/>
        <v>0</v>
      </c>
      <c r="M411" s="73">
        <f t="shared" si="164"/>
        <v>0</v>
      </c>
      <c r="N411" s="73">
        <f t="shared" si="164"/>
        <v>0</v>
      </c>
      <c r="O411" s="73">
        <f t="shared" si="164"/>
        <v>0</v>
      </c>
      <c r="P411" s="73">
        <f t="shared" si="164"/>
        <v>0</v>
      </c>
      <c r="Q411" s="73">
        <f t="shared" si="164"/>
        <v>0</v>
      </c>
      <c r="R411" s="73">
        <f t="shared" si="164"/>
        <v>0</v>
      </c>
      <c r="S411" s="73"/>
      <c r="T411" s="73">
        <f t="shared" si="165"/>
        <v>0</v>
      </c>
      <c r="U411" s="61" t="str">
        <f t="shared" si="166"/>
        <v>ok</v>
      </c>
      <c r="V411" s="62" t="str">
        <f t="shared" si="167"/>
        <v/>
      </c>
    </row>
    <row r="412" spans="1:22" ht="12" customHeight="1" x14ac:dyDescent="0.2">
      <c r="A412" s="403" t="s">
        <v>158</v>
      </c>
      <c r="C412" s="55" t="s">
        <v>486</v>
      </c>
      <c r="D412" s="55" t="s">
        <v>2150</v>
      </c>
      <c r="E412" s="55" t="s">
        <v>502</v>
      </c>
      <c r="F412" s="73">
        <f>VLOOKUP(C412,'Functional Assignment'!$C$1:$AU$773,10,)</f>
        <v>0</v>
      </c>
      <c r="G412" s="73">
        <f t="shared" si="164"/>
        <v>0</v>
      </c>
      <c r="H412" s="73">
        <f t="shared" si="164"/>
        <v>0</v>
      </c>
      <c r="I412" s="73">
        <f t="shared" si="164"/>
        <v>0</v>
      </c>
      <c r="J412" s="73">
        <f t="shared" si="164"/>
        <v>0</v>
      </c>
      <c r="K412" s="73">
        <f t="shared" si="164"/>
        <v>0</v>
      </c>
      <c r="L412" s="73">
        <f t="shared" si="164"/>
        <v>0</v>
      </c>
      <c r="M412" s="73">
        <f t="shared" si="164"/>
        <v>0</v>
      </c>
      <c r="N412" s="73">
        <f t="shared" si="164"/>
        <v>0</v>
      </c>
      <c r="O412" s="73">
        <f t="shared" si="164"/>
        <v>0</v>
      </c>
      <c r="P412" s="73">
        <f t="shared" si="164"/>
        <v>0</v>
      </c>
      <c r="Q412" s="73">
        <f t="shared" si="164"/>
        <v>0</v>
      </c>
      <c r="R412" s="73">
        <f t="shared" si="164"/>
        <v>0</v>
      </c>
      <c r="S412" s="73"/>
      <c r="T412" s="73">
        <f t="shared" si="165"/>
        <v>0</v>
      </c>
      <c r="U412" s="61" t="str">
        <f t="shared" si="166"/>
        <v>ok</v>
      </c>
      <c r="V412" s="62" t="str">
        <f t="shared" si="167"/>
        <v/>
      </c>
    </row>
    <row r="413" spans="1:22" ht="12" customHeight="1" x14ac:dyDescent="0.2">
      <c r="A413" s="403" t="s">
        <v>156</v>
      </c>
      <c r="C413" s="55" t="s">
        <v>486</v>
      </c>
      <c r="D413" s="55" t="s">
        <v>2151</v>
      </c>
      <c r="E413" s="55" t="s">
        <v>502</v>
      </c>
      <c r="F413" s="73">
        <f>VLOOKUP(C413,'Functional Assignment'!$C$1:$AU$773,11,)</f>
        <v>0</v>
      </c>
      <c r="G413" s="73">
        <f t="shared" si="164"/>
        <v>0</v>
      </c>
      <c r="H413" s="73">
        <f t="shared" si="164"/>
        <v>0</v>
      </c>
      <c r="I413" s="73">
        <f t="shared" si="164"/>
        <v>0</v>
      </c>
      <c r="J413" s="73">
        <f t="shared" si="164"/>
        <v>0</v>
      </c>
      <c r="K413" s="73">
        <f t="shared" si="164"/>
        <v>0</v>
      </c>
      <c r="L413" s="73">
        <f t="shared" si="164"/>
        <v>0</v>
      </c>
      <c r="M413" s="73">
        <f t="shared" si="164"/>
        <v>0</v>
      </c>
      <c r="N413" s="73">
        <f t="shared" si="164"/>
        <v>0</v>
      </c>
      <c r="O413" s="73">
        <f t="shared" si="164"/>
        <v>0</v>
      </c>
      <c r="P413" s="73">
        <f t="shared" si="164"/>
        <v>0</v>
      </c>
      <c r="Q413" s="73">
        <f t="shared" si="164"/>
        <v>0</v>
      </c>
      <c r="R413" s="73">
        <f t="shared" si="164"/>
        <v>0</v>
      </c>
      <c r="S413" s="73"/>
      <c r="T413" s="73">
        <f t="shared" si="165"/>
        <v>0</v>
      </c>
      <c r="U413" s="61" t="str">
        <f t="shared" si="166"/>
        <v>ok</v>
      </c>
      <c r="V413" s="62" t="str">
        <f t="shared" si="167"/>
        <v/>
      </c>
    </row>
    <row r="414" spans="1:22" ht="12" customHeight="1" x14ac:dyDescent="0.2">
      <c r="A414" s="55" t="s">
        <v>189</v>
      </c>
      <c r="D414" s="55" t="s">
        <v>2152</v>
      </c>
      <c r="F414" s="404">
        <f t="shared" ref="F414:R414" si="168">SUM(F408:F413)</f>
        <v>11264737.063642306</v>
      </c>
      <c r="G414" s="404">
        <f t="shared" si="168"/>
        <v>4450710.721924793</v>
      </c>
      <c r="H414" s="404">
        <f t="shared" si="168"/>
        <v>1320902.9059241093</v>
      </c>
      <c r="I414" s="404">
        <f>SUM(I408:I413)</f>
        <v>90857.33471041765</v>
      </c>
      <c r="J414" s="404">
        <f t="shared" si="168"/>
        <v>1713821.386242226</v>
      </c>
      <c r="K414" s="404">
        <f t="shared" si="168"/>
        <v>393008.02331844205</v>
      </c>
      <c r="L414" s="404">
        <f t="shared" si="168"/>
        <v>268013.68578176491</v>
      </c>
      <c r="M414" s="404">
        <f t="shared" si="168"/>
        <v>1936376.7286927095</v>
      </c>
      <c r="N414" s="404">
        <f>SUM(N408:N413)</f>
        <v>820576.54950778594</v>
      </c>
      <c r="O414" s="404">
        <f t="shared" si="168"/>
        <v>243082.20549063536</v>
      </c>
      <c r="P414" s="404">
        <f t="shared" si="168"/>
        <v>26838.543084526875</v>
      </c>
      <c r="Q414" s="404">
        <f t="shared" si="168"/>
        <v>8.7274149985841003</v>
      </c>
      <c r="R414" s="404">
        <f t="shared" si="168"/>
        <v>540.25154989908731</v>
      </c>
      <c r="S414" s="404"/>
      <c r="T414" s="62">
        <f t="shared" si="165"/>
        <v>11264737.063642308</v>
      </c>
      <c r="U414" s="61" t="str">
        <f t="shared" si="166"/>
        <v>ok</v>
      </c>
      <c r="V414" s="62" t="str">
        <f t="shared" si="167"/>
        <v/>
      </c>
    </row>
    <row r="415" spans="1:22" ht="12" customHeight="1" x14ac:dyDescent="0.2">
      <c r="F415" s="73"/>
      <c r="G415" s="73"/>
    </row>
    <row r="416" spans="1:22" ht="12" customHeight="1" x14ac:dyDescent="0.2">
      <c r="A416" s="171" t="s">
        <v>554</v>
      </c>
      <c r="F416" s="73"/>
      <c r="G416" s="73"/>
    </row>
    <row r="417" spans="1:22" ht="12" customHeight="1" x14ac:dyDescent="0.2">
      <c r="A417" s="403" t="s">
        <v>159</v>
      </c>
      <c r="C417" s="55" t="s">
        <v>486</v>
      </c>
      <c r="D417" s="55" t="s">
        <v>2153</v>
      </c>
      <c r="E417" s="55" t="s">
        <v>2831</v>
      </c>
      <c r="F417" s="404">
        <f>VLOOKUP(C417,'Functional Assignment'!$C$1:$AU$773,13,)</f>
        <v>579588.00685832789</v>
      </c>
      <c r="G417" s="404">
        <f t="shared" ref="G417:R419" si="169">IF(VLOOKUP($E417,$D$5:$AH$1237,3,)=0,0,(VLOOKUP($E417,$D$5:$AH$1237,G$1,)/VLOOKUP($E417,$D$5:$AH$1237,3,))*$F417)</f>
        <v>193650.32259782648</v>
      </c>
      <c r="H417" s="404">
        <f t="shared" si="169"/>
        <v>61113.963765620523</v>
      </c>
      <c r="I417" s="404">
        <f t="shared" si="169"/>
        <v>5089.6439708608195</v>
      </c>
      <c r="J417" s="404">
        <f t="shared" si="169"/>
        <v>99484.341854764309</v>
      </c>
      <c r="K417" s="404">
        <f t="shared" si="169"/>
        <v>21215.585965148901</v>
      </c>
      <c r="L417" s="404">
        <f t="shared" si="169"/>
        <v>16080.256225508325</v>
      </c>
      <c r="M417" s="404">
        <f t="shared" si="169"/>
        <v>115891.18392185755</v>
      </c>
      <c r="N417" s="404">
        <f t="shared" si="169"/>
        <v>47549.344481290238</v>
      </c>
      <c r="O417" s="404">
        <f t="shared" si="169"/>
        <v>15454.102002680866</v>
      </c>
      <c r="P417" s="404">
        <f t="shared" si="169"/>
        <v>4019.497550252338</v>
      </c>
      <c r="Q417" s="404">
        <f t="shared" si="169"/>
        <v>1.3070688336681264</v>
      </c>
      <c r="R417" s="404">
        <f t="shared" si="169"/>
        <v>38.457453683845202</v>
      </c>
      <c r="S417" s="404"/>
      <c r="T417" s="62">
        <f>SUM(G417:R417)</f>
        <v>579588.00685832778</v>
      </c>
      <c r="U417" s="61" t="str">
        <f>IF(ABS(F417-T417)&lt;0.01,"ok","err")</f>
        <v>ok</v>
      </c>
      <c r="V417" s="62" t="str">
        <f>IF(U417="err",T417-F417,"")</f>
        <v/>
      </c>
    </row>
    <row r="418" spans="1:22" ht="12" customHeight="1" x14ac:dyDescent="0.2">
      <c r="A418" s="403" t="s">
        <v>161</v>
      </c>
      <c r="C418" s="55" t="s">
        <v>486</v>
      </c>
      <c r="D418" s="55" t="s">
        <v>2154</v>
      </c>
      <c r="E418" s="55" t="s">
        <v>59</v>
      </c>
      <c r="F418" s="73">
        <f>VLOOKUP(C418,'Functional Assignment'!$C$1:$AU$773,14,)</f>
        <v>546364.71744550974</v>
      </c>
      <c r="G418" s="73">
        <f t="shared" si="169"/>
        <v>249523.29564195112</v>
      </c>
      <c r="H418" s="73">
        <f t="shared" si="169"/>
        <v>68909.644813978244</v>
      </c>
      <c r="I418" s="73">
        <f t="shared" si="169"/>
        <v>4645.781454806488</v>
      </c>
      <c r="J418" s="73">
        <f t="shared" si="169"/>
        <v>69238.282717975031</v>
      </c>
      <c r="K418" s="73">
        <f t="shared" si="169"/>
        <v>15374.703522424017</v>
      </c>
      <c r="L418" s="73">
        <f t="shared" si="169"/>
        <v>10297.387073646089</v>
      </c>
      <c r="M418" s="73">
        <f t="shared" si="169"/>
        <v>82565.178123265214</v>
      </c>
      <c r="N418" s="73">
        <f t="shared" si="169"/>
        <v>36785.93118300983</v>
      </c>
      <c r="O418" s="73">
        <f t="shared" si="169"/>
        <v>9003.3334348543121</v>
      </c>
      <c r="P418" s="73">
        <f t="shared" si="169"/>
        <v>0</v>
      </c>
      <c r="Q418" s="73">
        <f t="shared" si="169"/>
        <v>0</v>
      </c>
      <c r="R418" s="73">
        <f t="shared" si="169"/>
        <v>21.179479599490961</v>
      </c>
      <c r="S418" s="73"/>
      <c r="T418" s="73">
        <f>SUM(G418:R418)</f>
        <v>546364.71744550986</v>
      </c>
      <c r="U418" s="61" t="str">
        <f>IF(ABS(F418-T418)&lt;0.01,"ok","err")</f>
        <v>ok</v>
      </c>
      <c r="V418" s="62" t="str">
        <f>IF(U418="err",T418-F418,"")</f>
        <v/>
      </c>
    </row>
    <row r="419" spans="1:22" ht="12" customHeight="1" x14ac:dyDescent="0.2">
      <c r="A419" s="403" t="s">
        <v>160</v>
      </c>
      <c r="C419" s="55" t="s">
        <v>486</v>
      </c>
      <c r="D419" s="55" t="s">
        <v>2155</v>
      </c>
      <c r="E419" s="55" t="s">
        <v>62</v>
      </c>
      <c r="F419" s="73">
        <f>VLOOKUP(C419,'Functional Assignment'!$C$1:$AU$773,15,)</f>
        <v>561120.33659011463</v>
      </c>
      <c r="G419" s="73">
        <f t="shared" si="169"/>
        <v>223390.91126228607</v>
      </c>
      <c r="H419" s="73">
        <f t="shared" si="169"/>
        <v>67802.55425500538</v>
      </c>
      <c r="I419" s="73">
        <f t="shared" si="169"/>
        <v>3871.901661380437</v>
      </c>
      <c r="J419" s="73">
        <f t="shared" si="169"/>
        <v>87949.313314314248</v>
      </c>
      <c r="K419" s="73">
        <f t="shared" si="169"/>
        <v>22268.896049540941</v>
      </c>
      <c r="L419" s="73">
        <f t="shared" si="169"/>
        <v>13761.657483345378</v>
      </c>
      <c r="M419" s="73">
        <f t="shared" si="169"/>
        <v>91546.76863275806</v>
      </c>
      <c r="N419" s="73">
        <f t="shared" si="169"/>
        <v>38559.078926900591</v>
      </c>
      <c r="O419" s="73">
        <f t="shared" si="169"/>
        <v>11947.980698590702</v>
      </c>
      <c r="P419" s="73">
        <f t="shared" si="169"/>
        <v>0</v>
      </c>
      <c r="Q419" s="73">
        <f t="shared" si="169"/>
        <v>0</v>
      </c>
      <c r="R419" s="73">
        <f t="shared" si="169"/>
        <v>21.274305992962706</v>
      </c>
      <c r="S419" s="73"/>
      <c r="T419" s="73">
        <f>SUM(G419:R419)</f>
        <v>561120.33659011486</v>
      </c>
      <c r="U419" s="61" t="str">
        <f>IF(ABS(F419-T419)&lt;0.01,"ok","err")</f>
        <v>ok</v>
      </c>
      <c r="V419" s="62" t="str">
        <f>IF(U419="err",T419-F419,"")</f>
        <v/>
      </c>
    </row>
    <row r="420" spans="1:22" ht="12" customHeight="1" x14ac:dyDescent="0.2">
      <c r="A420" s="55" t="s">
        <v>556</v>
      </c>
      <c r="D420" s="55" t="s">
        <v>2156</v>
      </c>
      <c r="F420" s="404">
        <f t="shared" ref="F420:R420" si="170">SUM(F417:F419)</f>
        <v>1687073.0608939524</v>
      </c>
      <c r="G420" s="404">
        <f t="shared" si="170"/>
        <v>666564.52950206376</v>
      </c>
      <c r="H420" s="404">
        <f t="shared" si="170"/>
        <v>197826.16283460415</v>
      </c>
      <c r="I420" s="404">
        <f>SUM(I417:I419)</f>
        <v>13607.327087047746</v>
      </c>
      <c r="J420" s="404">
        <f t="shared" si="170"/>
        <v>256671.93788705359</v>
      </c>
      <c r="K420" s="404">
        <f t="shared" si="170"/>
        <v>58859.185537113859</v>
      </c>
      <c r="L420" s="404">
        <f t="shared" si="170"/>
        <v>40139.300782499791</v>
      </c>
      <c r="M420" s="404">
        <f t="shared" si="170"/>
        <v>290003.13067788084</v>
      </c>
      <c r="N420" s="404">
        <f>SUM(N417:N419)</f>
        <v>122894.35459120067</v>
      </c>
      <c r="O420" s="404">
        <f t="shared" si="170"/>
        <v>36405.416136125874</v>
      </c>
      <c r="P420" s="404">
        <f t="shared" si="170"/>
        <v>4019.497550252338</v>
      </c>
      <c r="Q420" s="404">
        <f t="shared" si="170"/>
        <v>1.3070688336681264</v>
      </c>
      <c r="R420" s="404">
        <f t="shared" si="170"/>
        <v>80.911239276298872</v>
      </c>
      <c r="S420" s="404"/>
      <c r="T420" s="62">
        <f>SUM(G420:R420)</f>
        <v>1687073.0608939524</v>
      </c>
      <c r="U420" s="61" t="str">
        <f>IF(ABS(F420-T420)&lt;0.01,"ok","err")</f>
        <v>ok</v>
      </c>
      <c r="V420" s="62" t="str">
        <f>IF(U420="err",T420-F420,"")</f>
        <v/>
      </c>
    </row>
    <row r="421" spans="1:22" ht="12" customHeight="1" x14ac:dyDescent="0.2">
      <c r="F421" s="73"/>
      <c r="G421" s="73"/>
    </row>
    <row r="422" spans="1:22" ht="12" customHeight="1" x14ac:dyDescent="0.2">
      <c r="A422" s="171" t="s">
        <v>2087</v>
      </c>
      <c r="F422" s="73"/>
      <c r="G422" s="73"/>
    </row>
    <row r="423" spans="1:22" ht="12" customHeight="1" x14ac:dyDescent="0.2">
      <c r="A423" s="403" t="s">
        <v>174</v>
      </c>
      <c r="C423" s="55" t="s">
        <v>486</v>
      </c>
      <c r="D423" s="55" t="s">
        <v>2157</v>
      </c>
      <c r="E423" s="55" t="s">
        <v>2730</v>
      </c>
      <c r="F423" s="404">
        <f>VLOOKUP(C423,'Functional Assignment'!$C$1:$AU$773,17,)</f>
        <v>0</v>
      </c>
      <c r="G423" s="404">
        <f t="shared" ref="G423:R423" si="171">IF(VLOOKUP($E423,$D$5:$AH$1237,3,)=0,0,(VLOOKUP($E423,$D$5:$AH$1237,G$1,)/VLOOKUP($E423,$D$5:$AH$1237,3,))*$F423)</f>
        <v>0</v>
      </c>
      <c r="H423" s="404">
        <f t="shared" si="171"/>
        <v>0</v>
      </c>
      <c r="I423" s="404">
        <f t="shared" si="171"/>
        <v>0</v>
      </c>
      <c r="J423" s="404">
        <f t="shared" si="171"/>
        <v>0</v>
      </c>
      <c r="K423" s="404">
        <f t="shared" si="171"/>
        <v>0</v>
      </c>
      <c r="L423" s="404">
        <f t="shared" si="171"/>
        <v>0</v>
      </c>
      <c r="M423" s="404">
        <f t="shared" si="171"/>
        <v>0</v>
      </c>
      <c r="N423" s="404">
        <f t="shared" si="171"/>
        <v>0</v>
      </c>
      <c r="O423" s="404">
        <f t="shared" si="171"/>
        <v>0</v>
      </c>
      <c r="P423" s="404">
        <f t="shared" si="171"/>
        <v>0</v>
      </c>
      <c r="Q423" s="404">
        <f t="shared" si="171"/>
        <v>0</v>
      </c>
      <c r="R423" s="404">
        <f t="shared" si="171"/>
        <v>0</v>
      </c>
      <c r="S423" s="404"/>
      <c r="T423" s="62">
        <f>SUM(G423:R423)</f>
        <v>0</v>
      </c>
      <c r="U423" s="61" t="str">
        <f>IF(ABS(F423-T423)&lt;0.01,"ok","err")</f>
        <v>ok</v>
      </c>
      <c r="V423" s="62" t="str">
        <f>IF(U423="err",T423-F423,"")</f>
        <v/>
      </c>
    </row>
    <row r="424" spans="1:22" ht="12" customHeight="1" x14ac:dyDescent="0.2">
      <c r="F424" s="73"/>
    </row>
    <row r="425" spans="1:22" ht="12" customHeight="1" x14ac:dyDescent="0.2">
      <c r="A425" s="171" t="s">
        <v>2088</v>
      </c>
      <c r="F425" s="73"/>
      <c r="G425" s="73"/>
    </row>
    <row r="426" spans="1:22" ht="12" customHeight="1" x14ac:dyDescent="0.2">
      <c r="A426" s="403" t="s">
        <v>176</v>
      </c>
      <c r="C426" s="55" t="s">
        <v>486</v>
      </c>
      <c r="D426" s="55" t="s">
        <v>2158</v>
      </c>
      <c r="E426" s="55" t="s">
        <v>2729</v>
      </c>
      <c r="F426" s="404">
        <f>VLOOKUP(C426,'Functional Assignment'!$C$1:$AU$773,18,)</f>
        <v>439769.41628394468</v>
      </c>
      <c r="G426" s="404">
        <f t="shared" ref="G426:R426" si="172">IF(VLOOKUP($E426,$D$5:$AH$1237,3,)=0,0,(VLOOKUP($E426,$D$5:$AH$1237,G$1,)/VLOOKUP($E426,$D$5:$AH$1237,3,))*$F426)</f>
        <v>198926.47728818006</v>
      </c>
      <c r="H426" s="404">
        <f t="shared" si="172"/>
        <v>60987.124044464363</v>
      </c>
      <c r="I426" s="404">
        <f t="shared" si="172"/>
        <v>5743.2992315853498</v>
      </c>
      <c r="J426" s="404">
        <f t="shared" si="172"/>
        <v>67345.079253373668</v>
      </c>
      <c r="K426" s="404">
        <f t="shared" si="172"/>
        <v>16795.018630324481</v>
      </c>
      <c r="L426" s="404">
        <f t="shared" si="172"/>
        <v>9961.2655338996319</v>
      </c>
      <c r="M426" s="404">
        <f t="shared" si="172"/>
        <v>76604.567559930991</v>
      </c>
      <c r="N426" s="404">
        <f t="shared" si="172"/>
        <v>0</v>
      </c>
      <c r="O426" s="404">
        <f t="shared" si="172"/>
        <v>0</v>
      </c>
      <c r="P426" s="404">
        <f t="shared" si="172"/>
        <v>3388.6849919843776</v>
      </c>
      <c r="Q426" s="404">
        <f t="shared" si="172"/>
        <v>1.1020824041604036</v>
      </c>
      <c r="R426" s="404">
        <f t="shared" si="172"/>
        <v>16.797667797573865</v>
      </c>
      <c r="S426" s="404"/>
      <c r="T426" s="62">
        <f>SUM(G426:R426)</f>
        <v>439769.41628394462</v>
      </c>
      <c r="U426" s="61" t="str">
        <f>IF(ABS(F426-T426)&lt;0.01,"ok","err")</f>
        <v>ok</v>
      </c>
      <c r="V426" s="62" t="str">
        <f>IF(U426="err",T426-F426,"")</f>
        <v/>
      </c>
    </row>
    <row r="427" spans="1:22" ht="12" customHeight="1" x14ac:dyDescent="0.2">
      <c r="F427" s="73"/>
    </row>
    <row r="428" spans="1:22" ht="12" customHeight="1" x14ac:dyDescent="0.2">
      <c r="A428" s="171" t="s">
        <v>175</v>
      </c>
      <c r="F428" s="73"/>
    </row>
    <row r="429" spans="1:22" ht="12" customHeight="1" x14ac:dyDescent="0.2">
      <c r="A429" s="403" t="s">
        <v>1010</v>
      </c>
      <c r="C429" s="55" t="s">
        <v>486</v>
      </c>
      <c r="D429" s="55" t="s">
        <v>2159</v>
      </c>
      <c r="E429" s="55" t="s">
        <v>2730</v>
      </c>
      <c r="F429" s="404">
        <f>VLOOKUP(C429,'Functional Assignment'!$C$1:$AU$773,19,)</f>
        <v>0</v>
      </c>
      <c r="G429" s="404">
        <f t="shared" ref="G429:R433" si="173">IF(VLOOKUP($E429,$D$5:$AH$1237,3,)=0,0,(VLOOKUP($E429,$D$5:$AH$1237,G$1,)/VLOOKUP($E429,$D$5:$AH$1237,3,))*$F429)</f>
        <v>0</v>
      </c>
      <c r="H429" s="404">
        <f t="shared" si="173"/>
        <v>0</v>
      </c>
      <c r="I429" s="404">
        <f t="shared" si="173"/>
        <v>0</v>
      </c>
      <c r="J429" s="404">
        <f t="shared" si="173"/>
        <v>0</v>
      </c>
      <c r="K429" s="404">
        <f t="shared" si="173"/>
        <v>0</v>
      </c>
      <c r="L429" s="404">
        <f t="shared" si="173"/>
        <v>0</v>
      </c>
      <c r="M429" s="404">
        <f t="shared" si="173"/>
        <v>0</v>
      </c>
      <c r="N429" s="404">
        <f t="shared" si="173"/>
        <v>0</v>
      </c>
      <c r="O429" s="404">
        <f t="shared" si="173"/>
        <v>0</v>
      </c>
      <c r="P429" s="404">
        <f t="shared" si="173"/>
        <v>0</v>
      </c>
      <c r="Q429" s="404">
        <f t="shared" si="173"/>
        <v>0</v>
      </c>
      <c r="R429" s="404">
        <f t="shared" si="173"/>
        <v>0</v>
      </c>
      <c r="S429" s="404"/>
      <c r="T429" s="62">
        <f t="shared" ref="T429:T434" si="174">SUM(G429:R429)</f>
        <v>0</v>
      </c>
      <c r="U429" s="61" t="str">
        <f t="shared" ref="U429:U434" si="175">IF(ABS(F429-T429)&lt;0.01,"ok","err")</f>
        <v>ok</v>
      </c>
      <c r="V429" s="62" t="str">
        <f t="shared" ref="V429:V434" si="176">IF(U429="err",T429-F429,"")</f>
        <v/>
      </c>
    </row>
    <row r="430" spans="1:22" ht="12" customHeight="1" x14ac:dyDescent="0.2">
      <c r="A430" s="403" t="s">
        <v>1011</v>
      </c>
      <c r="C430" s="55" t="s">
        <v>486</v>
      </c>
      <c r="D430" s="55" t="s">
        <v>2160</v>
      </c>
      <c r="E430" s="55" t="s">
        <v>2730</v>
      </c>
      <c r="F430" s="73">
        <f>VLOOKUP(C430,'Functional Assignment'!$C$1:$AU$773,20,)</f>
        <v>712266.30228886008</v>
      </c>
      <c r="G430" s="73">
        <f t="shared" si="173"/>
        <v>322188.44958039833</v>
      </c>
      <c r="H430" s="73">
        <f t="shared" si="173"/>
        <v>98776.931095943874</v>
      </c>
      <c r="I430" s="73">
        <f t="shared" si="173"/>
        <v>9302.0532013951597</v>
      </c>
      <c r="J430" s="73">
        <f t="shared" si="173"/>
        <v>109074.50313957159</v>
      </c>
      <c r="K430" s="73">
        <f t="shared" si="173"/>
        <v>27201.813890963993</v>
      </c>
      <c r="L430" s="73">
        <f t="shared" si="173"/>
        <v>16133.622542244053</v>
      </c>
      <c r="M430" s="73">
        <f t="shared" si="173"/>
        <v>124071.50214174914</v>
      </c>
      <c r="N430" s="73">
        <f t="shared" si="173"/>
        <v>0</v>
      </c>
      <c r="O430" s="73">
        <f t="shared" si="173"/>
        <v>0</v>
      </c>
      <c r="P430" s="73">
        <f t="shared" si="173"/>
        <v>5488.4356198705191</v>
      </c>
      <c r="Q430" s="73">
        <f t="shared" si="173"/>
        <v>1.7849721462260904</v>
      </c>
      <c r="R430" s="73">
        <f t="shared" si="173"/>
        <v>27.206104577153152</v>
      </c>
      <c r="S430" s="73"/>
      <c r="T430" s="73">
        <f t="shared" si="174"/>
        <v>712266.30228886008</v>
      </c>
      <c r="U430" s="61" t="str">
        <f t="shared" si="175"/>
        <v>ok</v>
      </c>
      <c r="V430" s="62" t="str">
        <f t="shared" si="176"/>
        <v/>
      </c>
    </row>
    <row r="431" spans="1:22" ht="12" customHeight="1" x14ac:dyDescent="0.2">
      <c r="A431" s="403" t="s">
        <v>1012</v>
      </c>
      <c r="C431" s="55" t="s">
        <v>486</v>
      </c>
      <c r="D431" s="55" t="s">
        <v>2161</v>
      </c>
      <c r="E431" s="55" t="s">
        <v>1180</v>
      </c>
      <c r="F431" s="73">
        <f>VLOOKUP(C431,'Functional Assignment'!$C$1:$AU$773,21,)</f>
        <v>1019467.229575856</v>
      </c>
      <c r="G431" s="73">
        <f t="shared" si="173"/>
        <v>811229.8775092127</v>
      </c>
      <c r="H431" s="73">
        <f t="shared" si="173"/>
        <v>158448.70298719485</v>
      </c>
      <c r="I431" s="73">
        <f t="shared" si="173"/>
        <v>1235.1364146038429</v>
      </c>
      <c r="J431" s="73">
        <f t="shared" si="173"/>
        <v>10871.130349161635</v>
      </c>
      <c r="K431" s="73">
        <f t="shared" si="173"/>
        <v>573.18049240209587</v>
      </c>
      <c r="L431" s="73">
        <f t="shared" si="173"/>
        <v>264.39638875113508</v>
      </c>
      <c r="M431" s="73">
        <f t="shared" si="173"/>
        <v>320.36350753787173</v>
      </c>
      <c r="N431" s="73">
        <f t="shared" si="173"/>
        <v>0</v>
      </c>
      <c r="O431" s="73">
        <f t="shared" si="173"/>
        <v>0</v>
      </c>
      <c r="P431" s="73">
        <f t="shared" si="173"/>
        <v>36377.555044352244</v>
      </c>
      <c r="Q431" s="73">
        <f t="shared" si="173"/>
        <v>2.3587674584448388</v>
      </c>
      <c r="R431" s="73">
        <f t="shared" si="173"/>
        <v>144.52811518107467</v>
      </c>
      <c r="S431" s="73"/>
      <c r="T431" s="73">
        <f t="shared" si="174"/>
        <v>1019467.2295758558</v>
      </c>
      <c r="U431" s="61" t="str">
        <f t="shared" si="175"/>
        <v>ok</v>
      </c>
      <c r="V431" s="62" t="str">
        <f t="shared" si="176"/>
        <v/>
      </c>
    </row>
    <row r="432" spans="1:22" ht="12" customHeight="1" x14ac:dyDescent="0.2">
      <c r="A432" s="403" t="s">
        <v>1013</v>
      </c>
      <c r="C432" s="55" t="s">
        <v>486</v>
      </c>
      <c r="D432" s="55" t="s">
        <v>2162</v>
      </c>
      <c r="E432" s="55" t="s">
        <v>909</v>
      </c>
      <c r="F432" s="73">
        <f>VLOOKUP(C432,'Functional Assignment'!$C$1:$AU$773,22,)</f>
        <v>125694.05334509292</v>
      </c>
      <c r="G432" s="73">
        <f t="shared" si="173"/>
        <v>86091.90451707528</v>
      </c>
      <c r="H432" s="73">
        <f t="shared" si="173"/>
        <v>20005.88244596617</v>
      </c>
      <c r="I432" s="73">
        <f t="shared" si="173"/>
        <v>1174.646806051798</v>
      </c>
      <c r="J432" s="73">
        <f t="shared" si="173"/>
        <v>15446.263605635744</v>
      </c>
      <c r="K432" s="73">
        <f t="shared" si="173"/>
        <v>0</v>
      </c>
      <c r="L432" s="73">
        <f t="shared" si="173"/>
        <v>2334.9668533298254</v>
      </c>
      <c r="M432" s="73">
        <f t="shared" si="173"/>
        <v>0</v>
      </c>
      <c r="N432" s="73">
        <f t="shared" si="173"/>
        <v>0</v>
      </c>
      <c r="O432" s="73">
        <f t="shared" si="173"/>
        <v>0</v>
      </c>
      <c r="P432" s="73">
        <f t="shared" si="173"/>
        <v>636.71621780773899</v>
      </c>
      <c r="Q432" s="73">
        <f t="shared" si="173"/>
        <v>0.20707552981445942</v>
      </c>
      <c r="R432" s="73">
        <f t="shared" si="173"/>
        <v>3.4658236965521159</v>
      </c>
      <c r="S432" s="73"/>
      <c r="T432" s="73">
        <f t="shared" si="174"/>
        <v>125694.05334509292</v>
      </c>
      <c r="U432" s="61" t="str">
        <f t="shared" si="175"/>
        <v>ok</v>
      </c>
      <c r="V432" s="62" t="str">
        <f t="shared" si="176"/>
        <v/>
      </c>
    </row>
    <row r="433" spans="1:22" ht="12" customHeight="1" x14ac:dyDescent="0.2">
      <c r="A433" s="403" t="s">
        <v>1014</v>
      </c>
      <c r="C433" s="55" t="s">
        <v>486</v>
      </c>
      <c r="D433" s="55" t="s">
        <v>2163</v>
      </c>
      <c r="E433" s="55" t="s">
        <v>1179</v>
      </c>
      <c r="F433" s="73">
        <f>VLOOKUP(C433,'Functional Assignment'!$C$1:$AU$773,23,)</f>
        <v>179905.98168985694</v>
      </c>
      <c r="G433" s="73">
        <f t="shared" si="173"/>
        <v>143283.79925397137</v>
      </c>
      <c r="H433" s="73">
        <f t="shared" si="173"/>
        <v>27986.065084999944</v>
      </c>
      <c r="I433" s="73">
        <f t="shared" si="173"/>
        <v>218.15645970134668</v>
      </c>
      <c r="J433" s="73">
        <f t="shared" si="173"/>
        <v>1920.1177148401341</v>
      </c>
      <c r="K433" s="73">
        <f t="shared" si="173"/>
        <v>0</v>
      </c>
      <c r="L433" s="73">
        <f t="shared" si="173"/>
        <v>46.699117154819518</v>
      </c>
      <c r="M433" s="73">
        <f t="shared" si="173"/>
        <v>0</v>
      </c>
      <c r="N433" s="73">
        <f t="shared" si="173"/>
        <v>0</v>
      </c>
      <c r="O433" s="73">
        <f t="shared" si="173"/>
        <v>0</v>
      </c>
      <c r="P433" s="73">
        <f t="shared" si="173"/>
        <v>6425.2001052144024</v>
      </c>
      <c r="Q433" s="73">
        <f t="shared" si="173"/>
        <v>0.4166182390129885</v>
      </c>
      <c r="R433" s="73">
        <f t="shared" si="173"/>
        <v>25.527335735886744</v>
      </c>
      <c r="S433" s="73"/>
      <c r="T433" s="73">
        <f t="shared" si="174"/>
        <v>179905.98168985691</v>
      </c>
      <c r="U433" s="61" t="str">
        <f t="shared" si="175"/>
        <v>ok</v>
      </c>
      <c r="V433" s="62" t="str">
        <f t="shared" si="176"/>
        <v/>
      </c>
    </row>
    <row r="434" spans="1:22" ht="12" customHeight="1" x14ac:dyDescent="0.2">
      <c r="A434" s="55" t="s">
        <v>180</v>
      </c>
      <c r="D434" s="55" t="s">
        <v>2164</v>
      </c>
      <c r="F434" s="404">
        <f>SUM(F429:F433)</f>
        <v>2037333.5668996661</v>
      </c>
      <c r="G434" s="404">
        <f t="shared" ref="G434:R434" si="177">SUM(G429:G433)</f>
        <v>1362794.0308606576</v>
      </c>
      <c r="H434" s="404">
        <f t="shared" si="177"/>
        <v>305217.58161410486</v>
      </c>
      <c r="I434" s="404">
        <f>SUM(I429:I433)</f>
        <v>11929.992881752149</v>
      </c>
      <c r="J434" s="404">
        <f t="shared" si="177"/>
        <v>137312.01480920913</v>
      </c>
      <c r="K434" s="404">
        <f t="shared" si="177"/>
        <v>27774.994383366087</v>
      </c>
      <c r="L434" s="404">
        <f t="shared" si="177"/>
        <v>18779.684901479832</v>
      </c>
      <c r="M434" s="404">
        <f t="shared" si="177"/>
        <v>124391.86564928701</v>
      </c>
      <c r="N434" s="404">
        <f>SUM(N429:N433)</f>
        <v>0</v>
      </c>
      <c r="O434" s="404">
        <f t="shared" si="177"/>
        <v>0</v>
      </c>
      <c r="P434" s="404">
        <f t="shared" si="177"/>
        <v>48927.906987244911</v>
      </c>
      <c r="Q434" s="404">
        <f t="shared" si="177"/>
        <v>4.7674333734983776</v>
      </c>
      <c r="R434" s="404">
        <f t="shared" si="177"/>
        <v>200.72737919066668</v>
      </c>
      <c r="S434" s="404"/>
      <c r="T434" s="62">
        <f t="shared" si="174"/>
        <v>2037333.5668996656</v>
      </c>
      <c r="U434" s="61" t="str">
        <f t="shared" si="175"/>
        <v>ok</v>
      </c>
      <c r="V434" s="62" t="str">
        <f t="shared" si="176"/>
        <v/>
      </c>
    </row>
    <row r="435" spans="1:22" ht="12" customHeight="1" x14ac:dyDescent="0.2">
      <c r="F435" s="73"/>
    </row>
    <row r="436" spans="1:22" ht="12" customHeight="1" x14ac:dyDescent="0.2">
      <c r="A436" s="171" t="s">
        <v>1009</v>
      </c>
      <c r="F436" s="73"/>
    </row>
    <row r="437" spans="1:22" ht="12" customHeight="1" x14ac:dyDescent="0.2">
      <c r="A437" s="403" t="s">
        <v>501</v>
      </c>
      <c r="C437" s="55" t="s">
        <v>486</v>
      </c>
      <c r="D437" s="55" t="s">
        <v>2165</v>
      </c>
      <c r="E437" s="55" t="s">
        <v>909</v>
      </c>
      <c r="F437" s="404">
        <f>VLOOKUP(C437,'Functional Assignment'!$C$1:$AU$773,24,)</f>
        <v>442410.2056104996</v>
      </c>
      <c r="G437" s="404">
        <f t="shared" ref="G437:R438" si="178">IF(VLOOKUP($E437,$D$5:$AH$1237,3,)=0,0,(VLOOKUP($E437,$D$5:$AH$1237,G$1,)/VLOOKUP($E437,$D$5:$AH$1237,3,))*$F437)</f>
        <v>303020.99554565537</v>
      </c>
      <c r="H437" s="404">
        <f t="shared" si="178"/>
        <v>70415.475758741712</v>
      </c>
      <c r="I437" s="404">
        <f t="shared" si="178"/>
        <v>4134.4496509975952</v>
      </c>
      <c r="J437" s="404">
        <f t="shared" si="178"/>
        <v>54366.809533317261</v>
      </c>
      <c r="K437" s="404">
        <f t="shared" si="178"/>
        <v>0</v>
      </c>
      <c r="L437" s="404">
        <f t="shared" si="178"/>
        <v>8218.472856780365</v>
      </c>
      <c r="M437" s="404">
        <f t="shared" si="178"/>
        <v>0</v>
      </c>
      <c r="N437" s="404">
        <f t="shared" si="178"/>
        <v>0</v>
      </c>
      <c r="O437" s="404">
        <f t="shared" si="178"/>
        <v>0</v>
      </c>
      <c r="P437" s="404">
        <f t="shared" si="178"/>
        <v>2241.074619994014</v>
      </c>
      <c r="Q437" s="404">
        <f t="shared" si="178"/>
        <v>0.72885172594917091</v>
      </c>
      <c r="R437" s="404">
        <f t="shared" si="178"/>
        <v>12.19879328731365</v>
      </c>
      <c r="S437" s="404"/>
      <c r="T437" s="62">
        <f>SUM(G437:R437)</f>
        <v>442410.2056104996</v>
      </c>
      <c r="U437" s="61" t="str">
        <f>IF(ABS(F437-T437)&lt;0.01,"ok","err")</f>
        <v>ok</v>
      </c>
      <c r="V437" s="62" t="str">
        <f>IF(U437="err",T437-F437,"")</f>
        <v/>
      </c>
    </row>
    <row r="438" spans="1:22" ht="12" customHeight="1" x14ac:dyDescent="0.2">
      <c r="A438" s="403" t="s">
        <v>504</v>
      </c>
      <c r="C438" s="55" t="s">
        <v>486</v>
      </c>
      <c r="D438" s="55" t="s">
        <v>2166</v>
      </c>
      <c r="E438" s="55" t="s">
        <v>1179</v>
      </c>
      <c r="F438" s="73">
        <f>VLOOKUP(C438,'Functional Assignment'!$C$1:$AU$773,25,)</f>
        <v>378540.25943032355</v>
      </c>
      <c r="G438" s="73">
        <f t="shared" si="178"/>
        <v>301483.50839864643</v>
      </c>
      <c r="H438" s="73">
        <f t="shared" si="178"/>
        <v>58885.492512265249</v>
      </c>
      <c r="I438" s="73">
        <f t="shared" si="178"/>
        <v>459.02310793707534</v>
      </c>
      <c r="J438" s="73">
        <f t="shared" si="178"/>
        <v>4040.1205734524146</v>
      </c>
      <c r="K438" s="73">
        <f t="shared" si="178"/>
        <v>0</v>
      </c>
      <c r="L438" s="73">
        <f t="shared" si="178"/>
        <v>98.259634042780178</v>
      </c>
      <c r="M438" s="73">
        <f t="shared" si="178"/>
        <v>0</v>
      </c>
      <c r="N438" s="73">
        <f t="shared" si="178"/>
        <v>0</v>
      </c>
      <c r="O438" s="73">
        <f t="shared" si="178"/>
        <v>0</v>
      </c>
      <c r="P438" s="73">
        <f t="shared" si="178"/>
        <v>13519.266518400198</v>
      </c>
      <c r="Q438" s="73">
        <f t="shared" si="178"/>
        <v>0.87660662974094261</v>
      </c>
      <c r="R438" s="73">
        <f t="shared" si="178"/>
        <v>53.712078949581375</v>
      </c>
      <c r="S438" s="73"/>
      <c r="T438" s="73">
        <f>SUM(G438:R438)</f>
        <v>378540.25943032355</v>
      </c>
      <c r="U438" s="61" t="str">
        <f>IF(ABS(F438-T438)&lt;0.01,"ok","err")</f>
        <v>ok</v>
      </c>
      <c r="V438" s="62" t="str">
        <f>IF(U438="err",T438-F438,"")</f>
        <v/>
      </c>
    </row>
    <row r="439" spans="1:22" ht="12" customHeight="1" x14ac:dyDescent="0.2">
      <c r="A439" s="55" t="s">
        <v>1890</v>
      </c>
      <c r="D439" s="55" t="s">
        <v>2167</v>
      </c>
      <c r="F439" s="404">
        <f t="shared" ref="F439:R439" si="179">F437+F438</f>
        <v>820950.46504082321</v>
      </c>
      <c r="G439" s="404">
        <f t="shared" si="179"/>
        <v>604504.50394430174</v>
      </c>
      <c r="H439" s="404">
        <f t="shared" si="179"/>
        <v>129300.96827100696</v>
      </c>
      <c r="I439" s="404">
        <f>I437+I438</f>
        <v>4593.4727589346703</v>
      </c>
      <c r="J439" s="404">
        <f t="shared" si="179"/>
        <v>58406.930106769672</v>
      </c>
      <c r="K439" s="404">
        <f t="shared" si="179"/>
        <v>0</v>
      </c>
      <c r="L439" s="404">
        <f t="shared" si="179"/>
        <v>8316.7324908231458</v>
      </c>
      <c r="M439" s="404">
        <f t="shared" si="179"/>
        <v>0</v>
      </c>
      <c r="N439" s="404">
        <f>N437+N438</f>
        <v>0</v>
      </c>
      <c r="O439" s="404">
        <f t="shared" si="179"/>
        <v>0</v>
      </c>
      <c r="P439" s="404">
        <f t="shared" si="179"/>
        <v>15760.341138394211</v>
      </c>
      <c r="Q439" s="404">
        <f t="shared" si="179"/>
        <v>1.6054583556901134</v>
      </c>
      <c r="R439" s="404">
        <f t="shared" si="179"/>
        <v>65.910872236895031</v>
      </c>
      <c r="S439" s="404"/>
      <c r="T439" s="62">
        <f>SUM(G439:R439)</f>
        <v>820950.4650408231</v>
      </c>
      <c r="U439" s="61" t="str">
        <f>IF(ABS(F439-T439)&lt;0.01,"ok","err")</f>
        <v>ok</v>
      </c>
      <c r="V439" s="62" t="str">
        <f>IF(U439="err",T439-F439,"")</f>
        <v/>
      </c>
    </row>
    <row r="440" spans="1:22" ht="12" customHeight="1" x14ac:dyDescent="0.2">
      <c r="F440" s="73"/>
    </row>
    <row r="441" spans="1:22" ht="12" customHeight="1" x14ac:dyDescent="0.2">
      <c r="A441" s="171" t="s">
        <v>148</v>
      </c>
      <c r="F441" s="73"/>
    </row>
    <row r="442" spans="1:22" ht="12" customHeight="1" x14ac:dyDescent="0.2">
      <c r="A442" s="403" t="s">
        <v>504</v>
      </c>
      <c r="C442" s="55" t="s">
        <v>486</v>
      </c>
      <c r="D442" s="55" t="s">
        <v>2168</v>
      </c>
      <c r="E442" s="55" t="s">
        <v>505</v>
      </c>
      <c r="F442" s="404">
        <f>VLOOKUP(C442,'Functional Assignment'!$C$1:$AU$773,26,)</f>
        <v>253760.05541689036</v>
      </c>
      <c r="G442" s="404">
        <f t="shared" ref="G442:R442" si="180">IF(VLOOKUP($E442,$D$5:$AH$1237,3,)=0,0,(VLOOKUP($E442,$D$5:$AH$1237,G$1,)/VLOOKUP($E442,$D$5:$AH$1237,3,))*$F442)</f>
        <v>149459.63135124702</v>
      </c>
      <c r="H442" s="404">
        <f t="shared" si="180"/>
        <v>98088.896794916494</v>
      </c>
      <c r="I442" s="404">
        <f t="shared" si="180"/>
        <v>468.19212247008915</v>
      </c>
      <c r="J442" s="404">
        <f t="shared" si="180"/>
        <v>5383.3887313644436</v>
      </c>
      <c r="K442" s="404">
        <f t="shared" si="180"/>
        <v>0</v>
      </c>
      <c r="L442" s="404">
        <f t="shared" si="180"/>
        <v>99.754775705135629</v>
      </c>
      <c r="M442" s="404">
        <f t="shared" si="180"/>
        <v>0</v>
      </c>
      <c r="N442" s="404">
        <f t="shared" si="180"/>
        <v>0</v>
      </c>
      <c r="O442" s="404">
        <f t="shared" si="180"/>
        <v>0</v>
      </c>
      <c r="P442" s="404">
        <f t="shared" si="180"/>
        <v>0</v>
      </c>
      <c r="Q442" s="404">
        <f t="shared" si="180"/>
        <v>3.9153324939240992</v>
      </c>
      <c r="R442" s="404">
        <f t="shared" si="180"/>
        <v>256.27630869321382</v>
      </c>
      <c r="S442" s="404"/>
      <c r="T442" s="62">
        <f>SUM(G442:R442)</f>
        <v>253760.05541689033</v>
      </c>
      <c r="U442" s="61" t="str">
        <f>IF(ABS(F442-T442)&lt;0.01,"ok","err")</f>
        <v>ok</v>
      </c>
      <c r="V442" s="62" t="str">
        <f>IF(U442="err",T442-F442,"")</f>
        <v/>
      </c>
    </row>
    <row r="443" spans="1:22" ht="12" customHeight="1" x14ac:dyDescent="0.2">
      <c r="F443" s="73"/>
    </row>
    <row r="444" spans="1:22" ht="12" customHeight="1" x14ac:dyDescent="0.2">
      <c r="A444" s="171" t="s">
        <v>147</v>
      </c>
      <c r="F444" s="73"/>
    </row>
    <row r="445" spans="1:22" ht="12" customHeight="1" x14ac:dyDescent="0.2">
      <c r="A445" s="403" t="s">
        <v>504</v>
      </c>
      <c r="C445" s="55" t="s">
        <v>486</v>
      </c>
      <c r="D445" s="55" t="s">
        <v>2169</v>
      </c>
      <c r="E445" s="55" t="s">
        <v>506</v>
      </c>
      <c r="F445" s="404">
        <f>VLOOKUP(C445,'Functional Assignment'!$C$1:$AU$773,27,)</f>
        <v>201097.23391154959</v>
      </c>
      <c r="G445" s="404">
        <f t="shared" ref="G445:R445" si="181">IF(VLOOKUP($E445,$D$5:$AH$1237,3,)=0,0,(VLOOKUP($E445,$D$5:$AH$1237,G$1,)/VLOOKUP($E445,$D$5:$AH$1237,3,))*$F445)</f>
        <v>126191.79874359956</v>
      </c>
      <c r="H445" s="404">
        <f t="shared" si="181"/>
        <v>46007.052469194736</v>
      </c>
      <c r="I445" s="404">
        <f t="shared" si="181"/>
        <v>1075.1762718645441</v>
      </c>
      <c r="J445" s="404">
        <f t="shared" si="181"/>
        <v>13500.007990200113</v>
      </c>
      <c r="K445" s="404">
        <f t="shared" si="181"/>
        <v>4954.8238196421953</v>
      </c>
      <c r="L445" s="404">
        <f t="shared" si="181"/>
        <v>507.61115782635045</v>
      </c>
      <c r="M445" s="404">
        <f t="shared" si="181"/>
        <v>3585.2659563022439</v>
      </c>
      <c r="N445" s="404">
        <f t="shared" si="181"/>
        <v>4876.6462067730317</v>
      </c>
      <c r="O445" s="404">
        <f t="shared" si="181"/>
        <v>179.16621514803859</v>
      </c>
      <c r="P445" s="404">
        <f t="shared" si="181"/>
        <v>0</v>
      </c>
      <c r="Q445" s="404">
        <f t="shared" si="181"/>
        <v>3.3057946525131938</v>
      </c>
      <c r="R445" s="404">
        <f t="shared" si="181"/>
        <v>216.37928634631814</v>
      </c>
      <c r="S445" s="404"/>
      <c r="T445" s="62">
        <f>SUM(G445:R445)</f>
        <v>201097.23391154961</v>
      </c>
      <c r="U445" s="61" t="str">
        <f>IF(ABS(F445-T445)&lt;0.01,"ok","err")</f>
        <v>ok</v>
      </c>
      <c r="V445" s="62" t="str">
        <f>IF(U445="err",T445-F445,"")</f>
        <v/>
      </c>
    </row>
    <row r="446" spans="1:22" ht="12" customHeight="1" x14ac:dyDescent="0.2">
      <c r="F446" s="73"/>
    </row>
    <row r="447" spans="1:22" ht="12" customHeight="1" x14ac:dyDescent="0.2">
      <c r="A447" s="171" t="s">
        <v>173</v>
      </c>
      <c r="F447" s="73"/>
    </row>
    <row r="448" spans="1:22" ht="12" customHeight="1" x14ac:dyDescent="0.2">
      <c r="A448" s="403" t="s">
        <v>504</v>
      </c>
      <c r="C448" s="55" t="s">
        <v>486</v>
      </c>
      <c r="D448" s="55" t="s">
        <v>2170</v>
      </c>
      <c r="E448" s="55" t="s">
        <v>507</v>
      </c>
      <c r="F448" s="404">
        <f>VLOOKUP(C448,'Functional Assignment'!$C$1:$AU$773,28,)</f>
        <v>295356.57937947899</v>
      </c>
      <c r="G448" s="404">
        <f t="shared" ref="G448:R448" si="182">IF(VLOOKUP($E448,$D$5:$AH$1237,3,)=0,0,(VLOOKUP($E448,$D$5:$AH$1237,G$1,)/VLOOKUP($E448,$D$5:$AH$1237,3,))*$F448)</f>
        <v>0</v>
      </c>
      <c r="H448" s="404">
        <f t="shared" si="182"/>
        <v>0</v>
      </c>
      <c r="I448" s="404">
        <f t="shared" si="182"/>
        <v>0</v>
      </c>
      <c r="J448" s="404">
        <f t="shared" si="182"/>
        <v>0</v>
      </c>
      <c r="K448" s="404">
        <f t="shared" si="182"/>
        <v>0</v>
      </c>
      <c r="L448" s="404">
        <f t="shared" si="182"/>
        <v>0</v>
      </c>
      <c r="M448" s="404">
        <f t="shared" si="182"/>
        <v>0</v>
      </c>
      <c r="N448" s="404">
        <f t="shared" si="182"/>
        <v>0</v>
      </c>
      <c r="O448" s="404">
        <f t="shared" si="182"/>
        <v>0</v>
      </c>
      <c r="P448" s="404">
        <f t="shared" si="182"/>
        <v>295356.57937947899</v>
      </c>
      <c r="Q448" s="404">
        <f t="shared" si="182"/>
        <v>0</v>
      </c>
      <c r="R448" s="404">
        <f t="shared" si="182"/>
        <v>0</v>
      </c>
      <c r="S448" s="404"/>
      <c r="T448" s="62">
        <f>SUM(G448:R448)</f>
        <v>295356.57937947899</v>
      </c>
      <c r="U448" s="61" t="str">
        <f>IF(ABS(F448-T448)&lt;0.01,"ok","err")</f>
        <v>ok</v>
      </c>
      <c r="V448" s="62" t="str">
        <f>IF(U448="err",T448-F448,"")</f>
        <v/>
      </c>
    </row>
    <row r="449" spans="1:22" ht="12" customHeight="1" x14ac:dyDescent="0.2">
      <c r="F449" s="73"/>
    </row>
    <row r="450" spans="1:22" ht="12" customHeight="1" x14ac:dyDescent="0.2">
      <c r="A450" s="171" t="s">
        <v>381</v>
      </c>
      <c r="F450" s="73"/>
    </row>
    <row r="451" spans="1:22" ht="12" customHeight="1" x14ac:dyDescent="0.2">
      <c r="A451" s="403" t="s">
        <v>504</v>
      </c>
      <c r="C451" s="55" t="s">
        <v>486</v>
      </c>
      <c r="D451" s="55" t="s">
        <v>2171</v>
      </c>
      <c r="E451" s="55" t="s">
        <v>508</v>
      </c>
      <c r="F451" s="404">
        <f>VLOOKUP(C451,'Functional Assignment'!$C$1:$AU$773,30,)</f>
        <v>0</v>
      </c>
      <c r="G451" s="404">
        <f t="shared" ref="G451:R451" si="183">IF(VLOOKUP($E451,$D$5:$AH$1237,3,)=0,0,(VLOOKUP($E451,$D$5:$AH$1237,G$1,)/VLOOKUP($E451,$D$5:$AH$1237,3,))*$F451)</f>
        <v>0</v>
      </c>
      <c r="H451" s="404">
        <f t="shared" si="183"/>
        <v>0</v>
      </c>
      <c r="I451" s="404">
        <f t="shared" si="183"/>
        <v>0</v>
      </c>
      <c r="J451" s="404">
        <f t="shared" si="183"/>
        <v>0</v>
      </c>
      <c r="K451" s="404">
        <f t="shared" si="183"/>
        <v>0</v>
      </c>
      <c r="L451" s="404">
        <f t="shared" si="183"/>
        <v>0</v>
      </c>
      <c r="M451" s="404">
        <f t="shared" si="183"/>
        <v>0</v>
      </c>
      <c r="N451" s="404">
        <f t="shared" si="183"/>
        <v>0</v>
      </c>
      <c r="O451" s="404">
        <f t="shared" si="183"/>
        <v>0</v>
      </c>
      <c r="P451" s="404">
        <f t="shared" si="183"/>
        <v>0</v>
      </c>
      <c r="Q451" s="404">
        <f t="shared" si="183"/>
        <v>0</v>
      </c>
      <c r="R451" s="404">
        <f t="shared" si="183"/>
        <v>0</v>
      </c>
      <c r="S451" s="404"/>
      <c r="T451" s="62">
        <f>SUM(G451:R451)</f>
        <v>0</v>
      </c>
      <c r="U451" s="61" t="str">
        <f>IF(ABS(F451-T451)&lt;0.01,"ok","err")</f>
        <v>ok</v>
      </c>
      <c r="V451" s="62" t="str">
        <f>IF(U451="err",T451-F451,"")</f>
        <v/>
      </c>
    </row>
    <row r="452" spans="1:22" ht="12" customHeight="1" x14ac:dyDescent="0.2">
      <c r="F452" s="73"/>
    </row>
    <row r="453" spans="1:22" ht="12" customHeight="1" x14ac:dyDescent="0.2">
      <c r="A453" s="171" t="s">
        <v>2090</v>
      </c>
      <c r="F453" s="73"/>
    </row>
    <row r="454" spans="1:22" ht="12" customHeight="1" x14ac:dyDescent="0.2">
      <c r="A454" s="403" t="s">
        <v>504</v>
      </c>
      <c r="C454" s="55" t="s">
        <v>486</v>
      </c>
      <c r="D454" s="55" t="s">
        <v>2172</v>
      </c>
      <c r="E454" s="55" t="s">
        <v>508</v>
      </c>
      <c r="F454" s="404">
        <f>VLOOKUP(C454,'Functional Assignment'!$C$1:$AU$773,32,)</f>
        <v>0</v>
      </c>
      <c r="G454" s="404">
        <f t="shared" ref="G454:R454" si="184">IF(VLOOKUP($E454,$D$5:$AH$1237,3,)=0,0,(VLOOKUP($E454,$D$5:$AH$1237,G$1,)/VLOOKUP($E454,$D$5:$AH$1237,3,))*$F454)</f>
        <v>0</v>
      </c>
      <c r="H454" s="404">
        <f t="shared" si="184"/>
        <v>0</v>
      </c>
      <c r="I454" s="404">
        <f t="shared" si="184"/>
        <v>0</v>
      </c>
      <c r="J454" s="404">
        <f t="shared" si="184"/>
        <v>0</v>
      </c>
      <c r="K454" s="404">
        <f t="shared" si="184"/>
        <v>0</v>
      </c>
      <c r="L454" s="404">
        <f t="shared" si="184"/>
        <v>0</v>
      </c>
      <c r="M454" s="404">
        <f t="shared" si="184"/>
        <v>0</v>
      </c>
      <c r="N454" s="404">
        <f t="shared" si="184"/>
        <v>0</v>
      </c>
      <c r="O454" s="404">
        <f t="shared" si="184"/>
        <v>0</v>
      </c>
      <c r="P454" s="404">
        <f t="shared" si="184"/>
        <v>0</v>
      </c>
      <c r="Q454" s="404">
        <f t="shared" si="184"/>
        <v>0</v>
      </c>
      <c r="R454" s="404">
        <f t="shared" si="184"/>
        <v>0</v>
      </c>
      <c r="S454" s="404"/>
      <c r="T454" s="62">
        <f>SUM(G454:R454)</f>
        <v>0</v>
      </c>
      <c r="U454" s="61" t="str">
        <f>IF(ABS(F454-T454)&lt;0.01,"ok","err")</f>
        <v>ok</v>
      </c>
      <c r="V454" s="62" t="str">
        <f>IF(U454="err",T454-F454,"")</f>
        <v/>
      </c>
    </row>
    <row r="455" spans="1:22" ht="12" customHeight="1" x14ac:dyDescent="0.2">
      <c r="F455" s="73"/>
    </row>
    <row r="456" spans="1:22" ht="12" customHeight="1" x14ac:dyDescent="0.2">
      <c r="A456" s="171" t="s">
        <v>2089</v>
      </c>
      <c r="F456" s="73"/>
    </row>
    <row r="457" spans="1:22" ht="12" customHeight="1" x14ac:dyDescent="0.2">
      <c r="A457" s="403" t="s">
        <v>504</v>
      </c>
      <c r="C457" s="55" t="s">
        <v>486</v>
      </c>
      <c r="D457" s="55" t="s">
        <v>2173</v>
      </c>
      <c r="E457" s="55" t="s">
        <v>509</v>
      </c>
      <c r="F457" s="404">
        <f>VLOOKUP(C457,'Functional Assignment'!$C$1:$AU$773,34,)</f>
        <v>0</v>
      </c>
      <c r="G457" s="404">
        <f t="shared" ref="G457:R457" si="185">IF(VLOOKUP($E457,$D$5:$AH$1237,3,)=0,0,(VLOOKUP($E457,$D$5:$AH$1237,G$1,)/VLOOKUP($E457,$D$5:$AH$1237,3,))*$F457)</f>
        <v>0</v>
      </c>
      <c r="H457" s="404">
        <f t="shared" si="185"/>
        <v>0</v>
      </c>
      <c r="I457" s="404">
        <f t="shared" si="185"/>
        <v>0</v>
      </c>
      <c r="J457" s="404">
        <f t="shared" si="185"/>
        <v>0</v>
      </c>
      <c r="K457" s="404">
        <f t="shared" si="185"/>
        <v>0</v>
      </c>
      <c r="L457" s="404">
        <f t="shared" si="185"/>
        <v>0</v>
      </c>
      <c r="M457" s="404">
        <f t="shared" si="185"/>
        <v>0</v>
      </c>
      <c r="N457" s="404">
        <f t="shared" si="185"/>
        <v>0</v>
      </c>
      <c r="O457" s="404">
        <f t="shared" si="185"/>
        <v>0</v>
      </c>
      <c r="P457" s="404">
        <f t="shared" si="185"/>
        <v>0</v>
      </c>
      <c r="Q457" s="404">
        <f t="shared" si="185"/>
        <v>0</v>
      </c>
      <c r="R457" s="404">
        <f t="shared" si="185"/>
        <v>0</v>
      </c>
      <c r="S457" s="404"/>
      <c r="T457" s="62">
        <f>SUM(G457:R457)</f>
        <v>0</v>
      </c>
      <c r="U457" s="61" t="str">
        <f>IF(ABS(F457-T457)&lt;0.01,"ok","err")</f>
        <v>ok</v>
      </c>
      <c r="V457" s="62" t="str">
        <f>IF(U457="err",T457-F457,"")</f>
        <v/>
      </c>
    </row>
    <row r="458" spans="1:22" ht="12" customHeight="1" x14ac:dyDescent="0.2">
      <c r="F458" s="73"/>
    </row>
    <row r="459" spans="1:22" ht="12" customHeight="1" x14ac:dyDescent="0.2">
      <c r="A459" s="55" t="s">
        <v>82</v>
      </c>
      <c r="D459" s="55" t="s">
        <v>520</v>
      </c>
      <c r="F459" s="404">
        <f>F414+F420+F423+F426+F434+F439+F442+F445+F448+F451+F454+F457</f>
        <v>17000077.441468611</v>
      </c>
      <c r="G459" s="404">
        <f t="shared" ref="G459:R459" si="186">G414+G420+G423+G426+G434+G439+G442+G445+G448+G451+G454+G457</f>
        <v>7559151.6936148442</v>
      </c>
      <c r="H459" s="404">
        <f t="shared" si="186"/>
        <v>2158330.6919524013</v>
      </c>
      <c r="I459" s="404">
        <f>I414+I420+I423+I426+I434+I439+I442+I445+I448+I451+I454+I457</f>
        <v>128274.7950640722</v>
      </c>
      <c r="J459" s="404">
        <f t="shared" si="186"/>
        <v>2252440.7450201968</v>
      </c>
      <c r="K459" s="404">
        <f t="shared" si="186"/>
        <v>501392.04568888864</v>
      </c>
      <c r="L459" s="404">
        <f t="shared" si="186"/>
        <v>345818.03542399872</v>
      </c>
      <c r="M459" s="404">
        <f>M414+M420+M423+M426+M434+M439+M442+M445+M448+M451+M454+M457</f>
        <v>2430961.5585361104</v>
      </c>
      <c r="N459" s="404">
        <f>N414+N420+N423+N426+N434+N439+N442+N445+N448+N451+N454+N457</f>
        <v>948347.55030575965</v>
      </c>
      <c r="O459" s="404">
        <f t="shared" si="186"/>
        <v>279666.78784190927</v>
      </c>
      <c r="P459" s="404">
        <f t="shared" si="186"/>
        <v>394291.55313188169</v>
      </c>
      <c r="Q459" s="404">
        <f t="shared" si="186"/>
        <v>24.730585112038412</v>
      </c>
      <c r="R459" s="404">
        <f t="shared" si="186"/>
        <v>1377.2543034400535</v>
      </c>
      <c r="S459" s="404"/>
      <c r="T459" s="62">
        <f>SUM(G459:R459)</f>
        <v>17000077.441468619</v>
      </c>
      <c r="U459" s="61" t="str">
        <f>IF(ABS(F459-T459)&lt;0.01,"ok","err")</f>
        <v>ok</v>
      </c>
      <c r="V459" s="62" t="str">
        <f>IF(U459="err",T459-F459,"")</f>
        <v/>
      </c>
    </row>
    <row r="462" spans="1:22" ht="12" customHeight="1" x14ac:dyDescent="0.2">
      <c r="A462" s="402" t="s">
        <v>521</v>
      </c>
    </row>
    <row r="464" spans="1:22" ht="12" customHeight="1" x14ac:dyDescent="0.2">
      <c r="A464" s="171" t="s">
        <v>166</v>
      </c>
    </row>
    <row r="465" spans="1:22" ht="12" customHeight="1" x14ac:dyDescent="0.2">
      <c r="A465" s="403" t="s">
        <v>153</v>
      </c>
      <c r="C465" s="55" t="s">
        <v>2145</v>
      </c>
      <c r="D465" s="55" t="s">
        <v>2174</v>
      </c>
      <c r="E465" s="55" t="s">
        <v>2831</v>
      </c>
      <c r="F465" s="404">
        <f>VLOOKUP(C465,'Functional Assignment'!$C$1:$AU$773,6,)</f>
        <v>2013730.0644604929</v>
      </c>
      <c r="G465" s="404">
        <f t="shared" ref="G465:R470" si="187">IF(VLOOKUP($E465,$D$5:$AH$1237,3,)=0,0,(VLOOKUP($E465,$D$5:$AH$1237,G$1,)/VLOOKUP($E465,$D$5:$AH$1237,3,))*$F465)</f>
        <v>672821.85275278904</v>
      </c>
      <c r="H465" s="404">
        <f t="shared" si="187"/>
        <v>212335.35673083941</v>
      </c>
      <c r="I465" s="404">
        <f t="shared" si="187"/>
        <v>17683.542378798364</v>
      </c>
      <c r="J465" s="404">
        <f t="shared" si="187"/>
        <v>345650.02685601328</v>
      </c>
      <c r="K465" s="404">
        <f t="shared" si="187"/>
        <v>73711.779380571839</v>
      </c>
      <c r="L465" s="404">
        <f t="shared" si="187"/>
        <v>55869.505618409516</v>
      </c>
      <c r="M465" s="404">
        <f t="shared" si="187"/>
        <v>402654.22767177771</v>
      </c>
      <c r="N465" s="404">
        <f t="shared" si="187"/>
        <v>165206.22130603867</v>
      </c>
      <c r="O465" s="404">
        <f t="shared" si="187"/>
        <v>53693.985130448898</v>
      </c>
      <c r="P465" s="404">
        <f t="shared" si="187"/>
        <v>13965.408126443415</v>
      </c>
      <c r="Q465" s="404">
        <f t="shared" si="187"/>
        <v>4.5413013649887226</v>
      </c>
      <c r="R465" s="404">
        <f t="shared" si="187"/>
        <v>133.61720699766974</v>
      </c>
      <c r="S465" s="404"/>
      <c r="T465" s="62">
        <f t="shared" ref="T465:T471" si="188">SUM(G465:R465)</f>
        <v>2013730.0644604925</v>
      </c>
      <c r="U465" s="61" t="str">
        <f t="shared" ref="U465:U471" si="189">IF(ABS(F465-T465)&lt;0.01,"ok","err")</f>
        <v>ok</v>
      </c>
      <c r="V465" s="62" t="str">
        <f t="shared" ref="V465:V471" si="190">IF(U465="err",T465-F465,"")</f>
        <v/>
      </c>
    </row>
    <row r="466" spans="1:22" ht="12" customHeight="1" x14ac:dyDescent="0.2">
      <c r="A466" s="403" t="s">
        <v>157</v>
      </c>
      <c r="C466" s="55" t="s">
        <v>2145</v>
      </c>
      <c r="D466" s="55" t="s">
        <v>2175</v>
      </c>
      <c r="E466" s="55" t="s">
        <v>59</v>
      </c>
      <c r="F466" s="73">
        <f>VLOOKUP(C466,'Functional Assignment'!$C$1:$AU$773,7,)</f>
        <v>1898298.5235397066</v>
      </c>
      <c r="G466" s="73">
        <f t="shared" si="187"/>
        <v>866947.82547542104</v>
      </c>
      <c r="H466" s="73">
        <f t="shared" si="187"/>
        <v>239420.79865555483</v>
      </c>
      <c r="I466" s="73">
        <f t="shared" si="187"/>
        <v>16141.379182719378</v>
      </c>
      <c r="J466" s="73">
        <f t="shared" si="187"/>
        <v>240562.62357216561</v>
      </c>
      <c r="K466" s="73">
        <f t="shared" si="187"/>
        <v>53418.12175012748</v>
      </c>
      <c r="L466" s="73">
        <f t="shared" si="187"/>
        <v>35777.410315974055</v>
      </c>
      <c r="M466" s="73">
        <f t="shared" si="187"/>
        <v>286865.80725780234</v>
      </c>
      <c r="N466" s="73">
        <f t="shared" si="187"/>
        <v>127809.64184186216</v>
      </c>
      <c r="O466" s="73">
        <f t="shared" si="187"/>
        <v>31281.329157247685</v>
      </c>
      <c r="P466" s="73">
        <f t="shared" si="187"/>
        <v>0</v>
      </c>
      <c r="Q466" s="73">
        <f t="shared" si="187"/>
        <v>0</v>
      </c>
      <c r="R466" s="73">
        <f t="shared" si="187"/>
        <v>73.586330832321295</v>
      </c>
      <c r="S466" s="73"/>
      <c r="T466" s="73">
        <f t="shared" si="188"/>
        <v>1898298.5235397071</v>
      </c>
      <c r="U466" s="61" t="str">
        <f t="shared" si="189"/>
        <v>ok</v>
      </c>
      <c r="V466" s="62" t="str">
        <f t="shared" si="190"/>
        <v/>
      </c>
    </row>
    <row r="467" spans="1:22" ht="12" customHeight="1" x14ac:dyDescent="0.2">
      <c r="A467" s="403" t="s">
        <v>154</v>
      </c>
      <c r="C467" s="55" t="s">
        <v>2145</v>
      </c>
      <c r="D467" s="55" t="s">
        <v>2176</v>
      </c>
      <c r="E467" s="55" t="s">
        <v>62</v>
      </c>
      <c r="F467" s="73">
        <f>VLOOKUP(C467,'Functional Assignment'!$C$1:$AU$773,8,)</f>
        <v>1949565.6883871718</v>
      </c>
      <c r="G467" s="73">
        <f t="shared" si="187"/>
        <v>776153.04114815954</v>
      </c>
      <c r="H467" s="73">
        <f t="shared" si="187"/>
        <v>235574.3050837357</v>
      </c>
      <c r="I467" s="73">
        <f t="shared" si="187"/>
        <v>13452.598552582152</v>
      </c>
      <c r="J467" s="73">
        <f t="shared" si="187"/>
        <v>305572.53475567722</v>
      </c>
      <c r="K467" s="73">
        <f t="shared" si="187"/>
        <v>77371.417190603563</v>
      </c>
      <c r="L467" s="73">
        <f t="shared" si="187"/>
        <v>47813.728170869799</v>
      </c>
      <c r="M467" s="73">
        <f t="shared" si="187"/>
        <v>318071.59243903327</v>
      </c>
      <c r="N467" s="73">
        <f t="shared" si="187"/>
        <v>133970.29540672433</v>
      </c>
      <c r="O467" s="73">
        <f t="shared" si="187"/>
        <v>41512.259842579704</v>
      </c>
      <c r="P467" s="73">
        <f t="shared" si="187"/>
        <v>0</v>
      </c>
      <c r="Q467" s="73">
        <f t="shared" si="187"/>
        <v>0</v>
      </c>
      <c r="R467" s="73">
        <f t="shared" si="187"/>
        <v>73.915797207019921</v>
      </c>
      <c r="S467" s="73"/>
      <c r="T467" s="73">
        <f t="shared" si="188"/>
        <v>1949565.6883871725</v>
      </c>
      <c r="U467" s="61" t="str">
        <f t="shared" si="189"/>
        <v>ok</v>
      </c>
      <c r="V467" s="62" t="str">
        <f t="shared" si="190"/>
        <v/>
      </c>
    </row>
    <row r="468" spans="1:22" ht="12" customHeight="1" x14ac:dyDescent="0.2">
      <c r="A468" s="403" t="s">
        <v>155</v>
      </c>
      <c r="C468" s="55" t="s">
        <v>2145</v>
      </c>
      <c r="D468" s="55" t="s">
        <v>2177</v>
      </c>
      <c r="E468" s="55" t="s">
        <v>502</v>
      </c>
      <c r="F468" s="73">
        <f>VLOOKUP(C468,'Functional Assignment'!$C$1:$AU$773,9,)</f>
        <v>0</v>
      </c>
      <c r="G468" s="73">
        <f t="shared" si="187"/>
        <v>0</v>
      </c>
      <c r="H468" s="73">
        <f t="shared" si="187"/>
        <v>0</v>
      </c>
      <c r="I468" s="73">
        <f t="shared" si="187"/>
        <v>0</v>
      </c>
      <c r="J468" s="73">
        <f t="shared" si="187"/>
        <v>0</v>
      </c>
      <c r="K468" s="73">
        <f t="shared" si="187"/>
        <v>0</v>
      </c>
      <c r="L468" s="73">
        <f t="shared" si="187"/>
        <v>0</v>
      </c>
      <c r="M468" s="73">
        <f t="shared" si="187"/>
        <v>0</v>
      </c>
      <c r="N468" s="73">
        <f t="shared" si="187"/>
        <v>0</v>
      </c>
      <c r="O468" s="73">
        <f t="shared" si="187"/>
        <v>0</v>
      </c>
      <c r="P468" s="73">
        <f t="shared" si="187"/>
        <v>0</v>
      </c>
      <c r="Q468" s="73">
        <f t="shared" si="187"/>
        <v>0</v>
      </c>
      <c r="R468" s="73">
        <f t="shared" si="187"/>
        <v>0</v>
      </c>
      <c r="S468" s="73"/>
      <c r="T468" s="73">
        <f t="shared" si="188"/>
        <v>0</v>
      </c>
      <c r="U468" s="61" t="str">
        <f t="shared" si="189"/>
        <v>ok</v>
      </c>
      <c r="V468" s="62" t="str">
        <f t="shared" si="190"/>
        <v/>
      </c>
    </row>
    <row r="469" spans="1:22" ht="12" customHeight="1" x14ac:dyDescent="0.2">
      <c r="A469" s="403" t="s">
        <v>158</v>
      </c>
      <c r="C469" s="55" t="s">
        <v>2145</v>
      </c>
      <c r="D469" s="55" t="s">
        <v>2178</v>
      </c>
      <c r="E469" s="55" t="s">
        <v>502</v>
      </c>
      <c r="F469" s="73">
        <f>VLOOKUP(C469,'Functional Assignment'!$C$1:$AU$773,10,)</f>
        <v>0</v>
      </c>
      <c r="G469" s="73">
        <f t="shared" si="187"/>
        <v>0</v>
      </c>
      <c r="H469" s="73">
        <f t="shared" si="187"/>
        <v>0</v>
      </c>
      <c r="I469" s="73">
        <f t="shared" si="187"/>
        <v>0</v>
      </c>
      <c r="J469" s="73">
        <f t="shared" si="187"/>
        <v>0</v>
      </c>
      <c r="K469" s="73">
        <f t="shared" si="187"/>
        <v>0</v>
      </c>
      <c r="L469" s="73">
        <f t="shared" si="187"/>
        <v>0</v>
      </c>
      <c r="M469" s="73">
        <f t="shared" si="187"/>
        <v>0</v>
      </c>
      <c r="N469" s="73">
        <f t="shared" si="187"/>
        <v>0</v>
      </c>
      <c r="O469" s="73">
        <f t="shared" si="187"/>
        <v>0</v>
      </c>
      <c r="P469" s="73">
        <f t="shared" si="187"/>
        <v>0</v>
      </c>
      <c r="Q469" s="73">
        <f t="shared" si="187"/>
        <v>0</v>
      </c>
      <c r="R469" s="73">
        <f t="shared" si="187"/>
        <v>0</v>
      </c>
      <c r="S469" s="73"/>
      <c r="T469" s="73">
        <f t="shared" si="188"/>
        <v>0</v>
      </c>
      <c r="U469" s="61" t="str">
        <f t="shared" si="189"/>
        <v>ok</v>
      </c>
      <c r="V469" s="62" t="str">
        <f t="shared" si="190"/>
        <v/>
      </c>
    </row>
    <row r="470" spans="1:22" ht="12" customHeight="1" x14ac:dyDescent="0.2">
      <c r="A470" s="403" t="s">
        <v>156</v>
      </c>
      <c r="C470" s="55" t="s">
        <v>2145</v>
      </c>
      <c r="D470" s="55" t="s">
        <v>2179</v>
      </c>
      <c r="E470" s="55" t="s">
        <v>502</v>
      </c>
      <c r="F470" s="73">
        <f>VLOOKUP(C470,'Functional Assignment'!$C$1:$AU$773,11,)</f>
        <v>0</v>
      </c>
      <c r="G470" s="73">
        <f t="shared" si="187"/>
        <v>0</v>
      </c>
      <c r="H470" s="73">
        <f t="shared" si="187"/>
        <v>0</v>
      </c>
      <c r="I470" s="73">
        <f t="shared" si="187"/>
        <v>0</v>
      </c>
      <c r="J470" s="73">
        <f t="shared" si="187"/>
        <v>0</v>
      </c>
      <c r="K470" s="73">
        <f t="shared" si="187"/>
        <v>0</v>
      </c>
      <c r="L470" s="73">
        <f t="shared" si="187"/>
        <v>0</v>
      </c>
      <c r="M470" s="73">
        <f t="shared" si="187"/>
        <v>0</v>
      </c>
      <c r="N470" s="73">
        <f t="shared" si="187"/>
        <v>0</v>
      </c>
      <c r="O470" s="73">
        <f t="shared" si="187"/>
        <v>0</v>
      </c>
      <c r="P470" s="73">
        <f t="shared" si="187"/>
        <v>0</v>
      </c>
      <c r="Q470" s="73">
        <f t="shared" si="187"/>
        <v>0</v>
      </c>
      <c r="R470" s="73">
        <f t="shared" si="187"/>
        <v>0</v>
      </c>
      <c r="S470" s="73"/>
      <c r="T470" s="73">
        <f t="shared" si="188"/>
        <v>0</v>
      </c>
      <c r="U470" s="61" t="str">
        <f t="shared" si="189"/>
        <v>ok</v>
      </c>
      <c r="V470" s="62" t="str">
        <f t="shared" si="190"/>
        <v/>
      </c>
    </row>
    <row r="471" spans="1:22" ht="12" customHeight="1" x14ac:dyDescent="0.2">
      <c r="A471" s="55" t="s">
        <v>189</v>
      </c>
      <c r="D471" s="55" t="s">
        <v>522</v>
      </c>
      <c r="F471" s="404">
        <f t="shared" ref="F471:R471" si="191">SUM(F465:F470)</f>
        <v>5861594.2763873711</v>
      </c>
      <c r="G471" s="404">
        <f t="shared" si="191"/>
        <v>2315922.7193763698</v>
      </c>
      <c r="H471" s="404">
        <f t="shared" si="191"/>
        <v>687330.46047012997</v>
      </c>
      <c r="I471" s="404">
        <f>SUM(I465:I470)</f>
        <v>47277.520114099891</v>
      </c>
      <c r="J471" s="404">
        <f t="shared" si="191"/>
        <v>891785.18518385617</v>
      </c>
      <c r="K471" s="404">
        <f t="shared" si="191"/>
        <v>204501.31832130288</v>
      </c>
      <c r="L471" s="404">
        <f t="shared" si="191"/>
        <v>139460.64410525339</v>
      </c>
      <c r="M471" s="404">
        <f t="shared" si="191"/>
        <v>1007591.6273686134</v>
      </c>
      <c r="N471" s="404">
        <f>SUM(N465:N470)</f>
        <v>426986.15855462517</v>
      </c>
      <c r="O471" s="404">
        <f t="shared" si="191"/>
        <v>126487.57413027629</v>
      </c>
      <c r="P471" s="404">
        <f t="shared" si="191"/>
        <v>13965.408126443415</v>
      </c>
      <c r="Q471" s="404">
        <f t="shared" si="191"/>
        <v>4.5413013649887226</v>
      </c>
      <c r="R471" s="404">
        <f t="shared" si="191"/>
        <v>281.11933503701096</v>
      </c>
      <c r="S471" s="404"/>
      <c r="T471" s="62">
        <f t="shared" si="188"/>
        <v>5861594.2763873721</v>
      </c>
      <c r="U471" s="61" t="str">
        <f t="shared" si="189"/>
        <v>ok</v>
      </c>
      <c r="V471" s="62" t="str">
        <f t="shared" si="190"/>
        <v/>
      </c>
    </row>
    <row r="472" spans="1:22" ht="12" customHeight="1" x14ac:dyDescent="0.2">
      <c r="F472" s="73"/>
      <c r="G472" s="73"/>
    </row>
    <row r="473" spans="1:22" ht="12" customHeight="1" x14ac:dyDescent="0.2">
      <c r="A473" s="171" t="s">
        <v>554</v>
      </c>
      <c r="F473" s="73"/>
      <c r="G473" s="73"/>
    </row>
    <row r="474" spans="1:22" ht="12" customHeight="1" x14ac:dyDescent="0.2">
      <c r="A474" s="403" t="s">
        <v>159</v>
      </c>
      <c r="C474" s="55" t="s">
        <v>2145</v>
      </c>
      <c r="D474" s="55" t="s">
        <v>2180</v>
      </c>
      <c r="E474" s="55" t="s">
        <v>2831</v>
      </c>
      <c r="F474" s="404">
        <f>VLOOKUP(C474,'Functional Assignment'!$C$1:$AU$773,13,)</f>
        <v>301588.01971761812</v>
      </c>
      <c r="G474" s="404">
        <f t="shared" ref="G474:R476" si="192">IF(VLOOKUP($E474,$D$5:$AH$1237,3,)=0,0,(VLOOKUP($E474,$D$5:$AH$1237,G$1,)/VLOOKUP($E474,$D$5:$AH$1237,3,))*$F474)</f>
        <v>100765.74501002762</v>
      </c>
      <c r="H474" s="404">
        <f t="shared" si="192"/>
        <v>31800.587815946681</v>
      </c>
      <c r="I474" s="404">
        <f t="shared" si="192"/>
        <v>2648.3909744095727</v>
      </c>
      <c r="J474" s="404">
        <f t="shared" si="192"/>
        <v>51766.574356019759</v>
      </c>
      <c r="K474" s="404">
        <f t="shared" si="192"/>
        <v>11039.50820697734</v>
      </c>
      <c r="L474" s="404">
        <f t="shared" si="192"/>
        <v>8367.344690050455</v>
      </c>
      <c r="M474" s="404">
        <f t="shared" si="192"/>
        <v>60303.857650847931</v>
      </c>
      <c r="N474" s="404">
        <f t="shared" si="192"/>
        <v>24742.25220551961</v>
      </c>
      <c r="O474" s="404">
        <f t="shared" si="192"/>
        <v>8041.5259880314579</v>
      </c>
      <c r="P474" s="404">
        <f t="shared" si="192"/>
        <v>2091.5413916367197</v>
      </c>
      <c r="Q474" s="404">
        <f t="shared" si="192"/>
        <v>0.68013191528468386</v>
      </c>
      <c r="R474" s="404">
        <f t="shared" si="192"/>
        <v>20.011296235686146</v>
      </c>
      <c r="S474" s="404"/>
      <c r="T474" s="62">
        <f>SUM(G474:R474)</f>
        <v>301588.01971761801</v>
      </c>
      <c r="U474" s="61" t="str">
        <f>IF(ABS(F474-T474)&lt;0.01,"ok","err")</f>
        <v>ok</v>
      </c>
      <c r="V474" s="62" t="str">
        <f>IF(U474="err",T474-F474,"")</f>
        <v/>
      </c>
    </row>
    <row r="475" spans="1:22" ht="12" customHeight="1" x14ac:dyDescent="0.2">
      <c r="A475" s="403" t="s">
        <v>161</v>
      </c>
      <c r="C475" s="55" t="s">
        <v>2145</v>
      </c>
      <c r="D475" s="55" t="s">
        <v>2181</v>
      </c>
      <c r="E475" s="55" t="s">
        <v>59</v>
      </c>
      <c r="F475" s="73">
        <f>VLOOKUP(C475,'Functional Assignment'!$C$1:$AU$773,14,)</f>
        <v>284300.31544500997</v>
      </c>
      <c r="G475" s="73">
        <f t="shared" si="192"/>
        <v>129839.18872645753</v>
      </c>
      <c r="H475" s="73">
        <f t="shared" si="192"/>
        <v>35857.062383922093</v>
      </c>
      <c r="I475" s="73">
        <f t="shared" si="192"/>
        <v>2417.4275734080288</v>
      </c>
      <c r="J475" s="73">
        <f t="shared" si="192"/>
        <v>36028.068777252738</v>
      </c>
      <c r="K475" s="73">
        <f t="shared" si="192"/>
        <v>8000.2110709767558</v>
      </c>
      <c r="L475" s="73">
        <f t="shared" si="192"/>
        <v>5358.2347099287617</v>
      </c>
      <c r="M475" s="73">
        <f t="shared" si="192"/>
        <v>42962.705013174258</v>
      </c>
      <c r="N475" s="73">
        <f t="shared" si="192"/>
        <v>19141.521231760635</v>
      </c>
      <c r="O475" s="73">
        <f t="shared" si="192"/>
        <v>4684.875237832257</v>
      </c>
      <c r="P475" s="73">
        <f t="shared" si="192"/>
        <v>0</v>
      </c>
      <c r="Q475" s="73">
        <f t="shared" si="192"/>
        <v>0</v>
      </c>
      <c r="R475" s="73">
        <f t="shared" si="192"/>
        <v>11.020720296963457</v>
      </c>
      <c r="S475" s="73"/>
      <c r="T475" s="73">
        <f>SUM(G475:R475)</f>
        <v>284300.31544501003</v>
      </c>
      <c r="U475" s="61" t="str">
        <f>IF(ABS(F475-T475)&lt;0.01,"ok","err")</f>
        <v>ok</v>
      </c>
      <c r="V475" s="62" t="str">
        <f>IF(U475="err",T475-F475,"")</f>
        <v/>
      </c>
    </row>
    <row r="476" spans="1:22" ht="12" customHeight="1" x14ac:dyDescent="0.2">
      <c r="A476" s="403" t="s">
        <v>160</v>
      </c>
      <c r="C476" s="55" t="s">
        <v>2145</v>
      </c>
      <c r="D476" s="55" t="s">
        <v>2182</v>
      </c>
      <c r="E476" s="55" t="s">
        <v>62</v>
      </c>
      <c r="F476" s="73">
        <f>VLOOKUP(C476,'Functional Assignment'!$C$1:$AU$773,15,)</f>
        <v>291978.38660050323</v>
      </c>
      <c r="G476" s="73">
        <f t="shared" si="192"/>
        <v>116241.22955148577</v>
      </c>
      <c r="H476" s="73">
        <f t="shared" si="192"/>
        <v>35280.988956974332</v>
      </c>
      <c r="I476" s="73">
        <f t="shared" si="192"/>
        <v>2014.7400235673163</v>
      </c>
      <c r="J476" s="73">
        <f t="shared" si="192"/>
        <v>45764.334189323388</v>
      </c>
      <c r="K476" s="73">
        <f t="shared" si="192"/>
        <v>11587.59701961911</v>
      </c>
      <c r="L476" s="73">
        <f t="shared" si="192"/>
        <v>7160.8642334256701</v>
      </c>
      <c r="M476" s="73">
        <f t="shared" si="192"/>
        <v>47636.266342290255</v>
      </c>
      <c r="N476" s="73">
        <f t="shared" si="192"/>
        <v>20064.176825766895</v>
      </c>
      <c r="O476" s="73">
        <f t="shared" si="192"/>
        <v>6217.1193949378685</v>
      </c>
      <c r="P476" s="73">
        <f t="shared" si="192"/>
        <v>0</v>
      </c>
      <c r="Q476" s="73">
        <f t="shared" si="192"/>
        <v>0</v>
      </c>
      <c r="R476" s="73">
        <f t="shared" si="192"/>
        <v>11.070063112697563</v>
      </c>
      <c r="S476" s="73"/>
      <c r="T476" s="73">
        <f>SUM(G476:R476)</f>
        <v>291978.38660050335</v>
      </c>
      <c r="U476" s="61" t="str">
        <f>IF(ABS(F476-T476)&lt;0.01,"ok","err")</f>
        <v>ok</v>
      </c>
      <c r="V476" s="62" t="str">
        <f>IF(U476="err",T476-F476,"")</f>
        <v/>
      </c>
    </row>
    <row r="477" spans="1:22" ht="12" customHeight="1" x14ac:dyDescent="0.2">
      <c r="A477" s="55" t="s">
        <v>556</v>
      </c>
      <c r="D477" s="55" t="s">
        <v>2183</v>
      </c>
      <c r="F477" s="404">
        <f t="shared" ref="F477:R477" si="193">SUM(F474:F476)</f>
        <v>877866.72176313133</v>
      </c>
      <c r="G477" s="404">
        <f t="shared" si="193"/>
        <v>346846.16328797094</v>
      </c>
      <c r="H477" s="404">
        <f t="shared" si="193"/>
        <v>102938.6391568431</v>
      </c>
      <c r="I477" s="404">
        <f>SUM(I474:I476)</f>
        <v>7080.5585713849177</v>
      </c>
      <c r="J477" s="404">
        <f t="shared" si="193"/>
        <v>133558.97732259589</v>
      </c>
      <c r="K477" s="404">
        <f t="shared" si="193"/>
        <v>30627.316297573205</v>
      </c>
      <c r="L477" s="404">
        <f t="shared" si="193"/>
        <v>20886.443633404888</v>
      </c>
      <c r="M477" s="404">
        <f t="shared" si="193"/>
        <v>150902.82900631244</v>
      </c>
      <c r="N477" s="404">
        <f>SUM(N474:N476)</f>
        <v>63947.95026304714</v>
      </c>
      <c r="O477" s="404">
        <f t="shared" si="193"/>
        <v>18943.520620801584</v>
      </c>
      <c r="P477" s="404">
        <f t="shared" si="193"/>
        <v>2091.5413916367197</v>
      </c>
      <c r="Q477" s="404">
        <f t="shared" si="193"/>
        <v>0.68013191528468386</v>
      </c>
      <c r="R477" s="404">
        <f t="shared" si="193"/>
        <v>42.102079645347168</v>
      </c>
      <c r="S477" s="404"/>
      <c r="T477" s="62">
        <f>SUM(G477:R477)</f>
        <v>877866.72176313144</v>
      </c>
      <c r="U477" s="61" t="str">
        <f>IF(ABS(F477-T477)&lt;0.01,"ok","err")</f>
        <v>ok</v>
      </c>
      <c r="V477" s="62" t="str">
        <f>IF(U477="err",T477-F477,"")</f>
        <v/>
      </c>
    </row>
    <row r="478" spans="1:22" ht="12" customHeight="1" x14ac:dyDescent="0.2">
      <c r="F478" s="73"/>
      <c r="G478" s="73"/>
    </row>
    <row r="479" spans="1:22" ht="12" customHeight="1" x14ac:dyDescent="0.2">
      <c r="A479" s="171" t="s">
        <v>2087</v>
      </c>
      <c r="F479" s="73"/>
      <c r="G479" s="73"/>
    </row>
    <row r="480" spans="1:22" ht="12" customHeight="1" x14ac:dyDescent="0.2">
      <c r="A480" s="403" t="s">
        <v>174</v>
      </c>
      <c r="C480" s="55" t="s">
        <v>2145</v>
      </c>
      <c r="D480" s="55" t="s">
        <v>2184</v>
      </c>
      <c r="E480" s="55" t="s">
        <v>2730</v>
      </c>
      <c r="F480" s="404">
        <f>VLOOKUP(C480,'Functional Assignment'!$C$1:$AU$773,17,)</f>
        <v>0</v>
      </c>
      <c r="G480" s="404">
        <f t="shared" ref="G480:R480" si="194">IF(VLOOKUP($E480,$D$5:$AH$1237,3,)=0,0,(VLOOKUP($E480,$D$5:$AH$1237,G$1,)/VLOOKUP($E480,$D$5:$AH$1237,3,))*$F480)</f>
        <v>0</v>
      </c>
      <c r="H480" s="404">
        <f t="shared" si="194"/>
        <v>0</v>
      </c>
      <c r="I480" s="404">
        <f t="shared" si="194"/>
        <v>0</v>
      </c>
      <c r="J480" s="404">
        <f t="shared" si="194"/>
        <v>0</v>
      </c>
      <c r="K480" s="404">
        <f t="shared" si="194"/>
        <v>0</v>
      </c>
      <c r="L480" s="404">
        <f t="shared" si="194"/>
        <v>0</v>
      </c>
      <c r="M480" s="404">
        <f t="shared" si="194"/>
        <v>0</v>
      </c>
      <c r="N480" s="404">
        <f t="shared" si="194"/>
        <v>0</v>
      </c>
      <c r="O480" s="404">
        <f t="shared" si="194"/>
        <v>0</v>
      </c>
      <c r="P480" s="404">
        <f t="shared" si="194"/>
        <v>0</v>
      </c>
      <c r="Q480" s="404">
        <f t="shared" si="194"/>
        <v>0</v>
      </c>
      <c r="R480" s="404">
        <f t="shared" si="194"/>
        <v>0</v>
      </c>
      <c r="S480" s="404"/>
      <c r="T480" s="62">
        <f>SUM(G480:R480)</f>
        <v>0</v>
      </c>
      <c r="U480" s="61" t="str">
        <f>IF(ABS(F480-T480)&lt;0.01,"ok","err")</f>
        <v>ok</v>
      </c>
      <c r="V480" s="62" t="str">
        <f>IF(U480="err",T480-F480,"")</f>
        <v/>
      </c>
    </row>
    <row r="481" spans="1:22" ht="12" customHeight="1" x14ac:dyDescent="0.2">
      <c r="F481" s="73"/>
    </row>
    <row r="482" spans="1:22" ht="12" customHeight="1" x14ac:dyDescent="0.2">
      <c r="A482" s="171" t="s">
        <v>2088</v>
      </c>
      <c r="F482" s="73"/>
      <c r="G482" s="73"/>
    </row>
    <row r="483" spans="1:22" ht="12" customHeight="1" x14ac:dyDescent="0.2">
      <c r="A483" s="403" t="s">
        <v>176</v>
      </c>
      <c r="C483" s="55" t="s">
        <v>2145</v>
      </c>
      <c r="D483" s="55" t="s">
        <v>2185</v>
      </c>
      <c r="E483" s="55" t="s">
        <v>2729</v>
      </c>
      <c r="F483" s="404">
        <f>VLOOKUP(C483,'Functional Assignment'!$C$1:$AU$773,18,)</f>
        <v>228833.5607708098</v>
      </c>
      <c r="G483" s="404">
        <f t="shared" ref="G483:R483" si="195">IF(VLOOKUP($E483,$D$5:$AH$1237,3,)=0,0,(VLOOKUP($E483,$D$5:$AH$1237,G$1,)/VLOOKUP($E483,$D$5:$AH$1237,3,))*$F483)</f>
        <v>103511.18664435823</v>
      </c>
      <c r="H483" s="404">
        <f t="shared" si="195"/>
        <v>31734.58689827349</v>
      </c>
      <c r="I483" s="404">
        <f t="shared" si="195"/>
        <v>2988.5198130452914</v>
      </c>
      <c r="J483" s="404">
        <f t="shared" si="195"/>
        <v>35042.9423131863</v>
      </c>
      <c r="K483" s="404">
        <f t="shared" si="195"/>
        <v>8739.2705678918119</v>
      </c>
      <c r="L483" s="404">
        <f t="shared" si="195"/>
        <v>5183.3342144784674</v>
      </c>
      <c r="M483" s="404">
        <f t="shared" si="195"/>
        <v>39861.107473487245</v>
      </c>
      <c r="N483" s="404">
        <f t="shared" si="195"/>
        <v>0</v>
      </c>
      <c r="O483" s="404">
        <f t="shared" si="195"/>
        <v>0</v>
      </c>
      <c r="P483" s="404">
        <f t="shared" si="195"/>
        <v>1763.2987295908474</v>
      </c>
      <c r="Q483" s="404">
        <f t="shared" si="195"/>
        <v>0.57346743877261086</v>
      </c>
      <c r="R483" s="404">
        <f t="shared" si="195"/>
        <v>8.7406490593291579</v>
      </c>
      <c r="S483" s="404"/>
      <c r="T483" s="62">
        <f>SUM(G483:R483)</f>
        <v>228833.56077080974</v>
      </c>
      <c r="U483" s="61" t="str">
        <f>IF(ABS(F483-T483)&lt;0.01,"ok","err")</f>
        <v>ok</v>
      </c>
      <c r="V483" s="62" t="str">
        <f>IF(U483="err",T483-F483,"")</f>
        <v/>
      </c>
    </row>
    <row r="484" spans="1:22" ht="12" customHeight="1" x14ac:dyDescent="0.2">
      <c r="F484" s="73"/>
    </row>
    <row r="485" spans="1:22" ht="12" customHeight="1" x14ac:dyDescent="0.2">
      <c r="A485" s="171" t="s">
        <v>175</v>
      </c>
      <c r="F485" s="73"/>
    </row>
    <row r="486" spans="1:22" ht="12" customHeight="1" x14ac:dyDescent="0.2">
      <c r="A486" s="403" t="s">
        <v>1010</v>
      </c>
      <c r="C486" s="55" t="s">
        <v>2145</v>
      </c>
      <c r="D486" s="55" t="s">
        <v>2186</v>
      </c>
      <c r="E486" s="55" t="s">
        <v>2730</v>
      </c>
      <c r="F486" s="404">
        <f>VLOOKUP(C486,'Functional Assignment'!$C$1:$AU$773,19,)</f>
        <v>0</v>
      </c>
      <c r="G486" s="404">
        <f t="shared" ref="G486:R490" si="196">IF(VLOOKUP($E486,$D$5:$AH$1237,3,)=0,0,(VLOOKUP($E486,$D$5:$AH$1237,G$1,)/VLOOKUP($E486,$D$5:$AH$1237,3,))*$F486)</f>
        <v>0</v>
      </c>
      <c r="H486" s="404">
        <f t="shared" si="196"/>
        <v>0</v>
      </c>
      <c r="I486" s="404">
        <f t="shared" si="196"/>
        <v>0</v>
      </c>
      <c r="J486" s="404">
        <f t="shared" si="196"/>
        <v>0</v>
      </c>
      <c r="K486" s="404">
        <f t="shared" si="196"/>
        <v>0</v>
      </c>
      <c r="L486" s="404">
        <f t="shared" si="196"/>
        <v>0</v>
      </c>
      <c r="M486" s="404">
        <f t="shared" si="196"/>
        <v>0</v>
      </c>
      <c r="N486" s="404">
        <f t="shared" si="196"/>
        <v>0</v>
      </c>
      <c r="O486" s="404">
        <f t="shared" si="196"/>
        <v>0</v>
      </c>
      <c r="P486" s="404">
        <f t="shared" si="196"/>
        <v>0</v>
      </c>
      <c r="Q486" s="404">
        <f t="shared" si="196"/>
        <v>0</v>
      </c>
      <c r="R486" s="404">
        <f t="shared" si="196"/>
        <v>0</v>
      </c>
      <c r="S486" s="404"/>
      <c r="T486" s="62">
        <f t="shared" ref="T486:T491" si="197">SUM(G486:R486)</f>
        <v>0</v>
      </c>
      <c r="U486" s="61" t="str">
        <f t="shared" ref="U486:U491" si="198">IF(ABS(F486-T486)&lt;0.01,"ok","err")</f>
        <v>ok</v>
      </c>
      <c r="V486" s="62" t="str">
        <f t="shared" ref="V486:V491" si="199">IF(U486="err",T486-F486,"")</f>
        <v/>
      </c>
    </row>
    <row r="487" spans="1:22" ht="12" customHeight="1" x14ac:dyDescent="0.2">
      <c r="A487" s="403" t="s">
        <v>1011</v>
      </c>
      <c r="C487" s="55" t="s">
        <v>2145</v>
      </c>
      <c r="D487" s="55" t="s">
        <v>2187</v>
      </c>
      <c r="E487" s="55" t="s">
        <v>2730</v>
      </c>
      <c r="F487" s="73">
        <f>VLOOKUP(C487,'Functional Assignment'!$C$1:$AU$773,20,)</f>
        <v>370627.03347378818</v>
      </c>
      <c r="G487" s="73">
        <f t="shared" si="196"/>
        <v>167650.42639778668</v>
      </c>
      <c r="H487" s="73">
        <f t="shared" si="196"/>
        <v>51398.473899566132</v>
      </c>
      <c r="I487" s="73">
        <f t="shared" si="196"/>
        <v>4840.3137592914918</v>
      </c>
      <c r="J487" s="73">
        <f t="shared" si="196"/>
        <v>56756.804858433468</v>
      </c>
      <c r="K487" s="73">
        <f t="shared" si="196"/>
        <v>14154.435714727126</v>
      </c>
      <c r="L487" s="73">
        <f t="shared" si="196"/>
        <v>8395.1137977502367</v>
      </c>
      <c r="M487" s="73">
        <f t="shared" si="196"/>
        <v>64560.477773079168</v>
      </c>
      <c r="N487" s="73">
        <f t="shared" si="196"/>
        <v>0</v>
      </c>
      <c r="O487" s="73">
        <f t="shared" si="196"/>
        <v>0</v>
      </c>
      <c r="P487" s="73">
        <f t="shared" si="196"/>
        <v>2855.9017963754882</v>
      </c>
      <c r="Q487" s="73">
        <f t="shared" si="196"/>
        <v>0.92880840952773447</v>
      </c>
      <c r="R487" s="73">
        <f t="shared" si="196"/>
        <v>14.156668368846441</v>
      </c>
      <c r="S487" s="73"/>
      <c r="T487" s="73">
        <f t="shared" si="197"/>
        <v>370627.03347378818</v>
      </c>
      <c r="U487" s="61" t="str">
        <f t="shared" si="198"/>
        <v>ok</v>
      </c>
      <c r="V487" s="62" t="str">
        <f t="shared" si="199"/>
        <v/>
      </c>
    </row>
    <row r="488" spans="1:22" ht="12" customHeight="1" x14ac:dyDescent="0.2">
      <c r="A488" s="403" t="s">
        <v>1012</v>
      </c>
      <c r="C488" s="55" t="s">
        <v>2145</v>
      </c>
      <c r="D488" s="55" t="s">
        <v>2188</v>
      </c>
      <c r="E488" s="55" t="s">
        <v>1180</v>
      </c>
      <c r="F488" s="73">
        <f>VLOOKUP(C488,'Functional Assignment'!$C$1:$AU$773,21,)</f>
        <v>530478.7181525355</v>
      </c>
      <c r="G488" s="73">
        <f t="shared" si="196"/>
        <v>422122.62745038536</v>
      </c>
      <c r="H488" s="73">
        <f t="shared" si="196"/>
        <v>82448.61866579963</v>
      </c>
      <c r="I488" s="73">
        <f t="shared" si="196"/>
        <v>642.70195544702642</v>
      </c>
      <c r="J488" s="73">
        <f t="shared" si="196"/>
        <v>5656.7814297392169</v>
      </c>
      <c r="K488" s="73">
        <f t="shared" si="196"/>
        <v>298.25387619963567</v>
      </c>
      <c r="L488" s="73">
        <f t="shared" si="196"/>
        <v>137.57838733787906</v>
      </c>
      <c r="M488" s="73">
        <f t="shared" si="196"/>
        <v>166.70081969407246</v>
      </c>
      <c r="N488" s="73">
        <f t="shared" si="196"/>
        <v>0</v>
      </c>
      <c r="O488" s="73">
        <f t="shared" si="196"/>
        <v>0</v>
      </c>
      <c r="P488" s="73">
        <f t="shared" si="196"/>
        <v>18929.023130522706</v>
      </c>
      <c r="Q488" s="73">
        <f t="shared" si="196"/>
        <v>1.2273822065828628</v>
      </c>
      <c r="R488" s="73">
        <f t="shared" si="196"/>
        <v>75.205055203349957</v>
      </c>
      <c r="S488" s="73"/>
      <c r="T488" s="73">
        <f t="shared" si="197"/>
        <v>530478.7181525355</v>
      </c>
      <c r="U488" s="61" t="str">
        <f t="shared" si="198"/>
        <v>ok</v>
      </c>
      <c r="V488" s="62" t="str">
        <f t="shared" si="199"/>
        <v/>
      </c>
    </row>
    <row r="489" spans="1:22" ht="12" customHeight="1" x14ac:dyDescent="0.2">
      <c r="A489" s="403" t="s">
        <v>1013</v>
      </c>
      <c r="C489" s="55" t="s">
        <v>2145</v>
      </c>
      <c r="D489" s="55" t="s">
        <v>2189</v>
      </c>
      <c r="E489" s="55" t="s">
        <v>909</v>
      </c>
      <c r="F489" s="73">
        <f>VLOOKUP(C489,'Functional Assignment'!$C$1:$AU$773,22,)</f>
        <v>65404.770613021428</v>
      </c>
      <c r="G489" s="73">
        <f t="shared" si="196"/>
        <v>44797.833443385236</v>
      </c>
      <c r="H489" s="73">
        <f t="shared" si="196"/>
        <v>10410.040232349404</v>
      </c>
      <c r="I489" s="73">
        <f t="shared" si="196"/>
        <v>611.22625022049579</v>
      </c>
      <c r="J489" s="73">
        <f t="shared" si="196"/>
        <v>8037.4472862387602</v>
      </c>
      <c r="K489" s="73">
        <f t="shared" si="196"/>
        <v>0</v>
      </c>
      <c r="L489" s="73">
        <f t="shared" si="196"/>
        <v>1214.9975863357563</v>
      </c>
      <c r="M489" s="73">
        <f t="shared" si="196"/>
        <v>0</v>
      </c>
      <c r="N489" s="73">
        <f t="shared" si="196"/>
        <v>0</v>
      </c>
      <c r="O489" s="73">
        <f t="shared" si="196"/>
        <v>0</v>
      </c>
      <c r="P489" s="73">
        <f t="shared" si="196"/>
        <v>331.31462517937445</v>
      </c>
      <c r="Q489" s="73">
        <f t="shared" si="196"/>
        <v>0.10775153769526634</v>
      </c>
      <c r="R489" s="73">
        <f t="shared" si="196"/>
        <v>1.8034377747037205</v>
      </c>
      <c r="S489" s="73"/>
      <c r="T489" s="73">
        <f t="shared" si="197"/>
        <v>65404.770613021428</v>
      </c>
      <c r="U489" s="61" t="str">
        <f t="shared" si="198"/>
        <v>ok</v>
      </c>
      <c r="V489" s="62" t="str">
        <f t="shared" si="199"/>
        <v/>
      </c>
    </row>
    <row r="490" spans="1:22" ht="12" customHeight="1" x14ac:dyDescent="0.2">
      <c r="A490" s="403" t="s">
        <v>1014</v>
      </c>
      <c r="C490" s="55" t="s">
        <v>2145</v>
      </c>
      <c r="D490" s="55" t="s">
        <v>2190</v>
      </c>
      <c r="E490" s="55" t="s">
        <v>1179</v>
      </c>
      <c r="F490" s="73">
        <f>VLOOKUP(C490,'Functional Assignment'!$C$1:$AU$773,23,)</f>
        <v>93613.891438682738</v>
      </c>
      <c r="G490" s="73">
        <f t="shared" si="196"/>
        <v>74557.57669807112</v>
      </c>
      <c r="H490" s="73">
        <f t="shared" si="196"/>
        <v>14562.520012144782</v>
      </c>
      <c r="I490" s="73">
        <f t="shared" si="196"/>
        <v>113.5174880973991</v>
      </c>
      <c r="J490" s="73">
        <f t="shared" si="196"/>
        <v>999.1312663322642</v>
      </c>
      <c r="K490" s="73">
        <f t="shared" si="196"/>
        <v>0</v>
      </c>
      <c r="L490" s="73">
        <f t="shared" si="196"/>
        <v>24.299837295849493</v>
      </c>
      <c r="M490" s="73">
        <f t="shared" si="196"/>
        <v>0</v>
      </c>
      <c r="N490" s="73">
        <f t="shared" si="196"/>
        <v>0</v>
      </c>
      <c r="O490" s="73">
        <f t="shared" si="196"/>
        <v>0</v>
      </c>
      <c r="P490" s="73">
        <f t="shared" si="196"/>
        <v>3343.346227132512</v>
      </c>
      <c r="Q490" s="73">
        <f t="shared" si="196"/>
        <v>0.21678686963044969</v>
      </c>
      <c r="R490" s="73">
        <f t="shared" si="196"/>
        <v>13.283122739174823</v>
      </c>
      <c r="S490" s="73"/>
      <c r="T490" s="73">
        <f t="shared" si="197"/>
        <v>93613.891438682724</v>
      </c>
      <c r="U490" s="61" t="str">
        <f t="shared" si="198"/>
        <v>ok</v>
      </c>
      <c r="V490" s="62" t="str">
        <f t="shared" si="199"/>
        <v/>
      </c>
    </row>
    <row r="491" spans="1:22" ht="12" customHeight="1" x14ac:dyDescent="0.2">
      <c r="A491" s="55" t="s">
        <v>180</v>
      </c>
      <c r="D491" s="55" t="s">
        <v>2191</v>
      </c>
      <c r="F491" s="404">
        <f>SUM(F486:F490)</f>
        <v>1060124.4136780279</v>
      </c>
      <c r="G491" s="404">
        <f t="shared" ref="G491:R491" si="200">SUM(G486:G490)</f>
        <v>709128.46398962836</v>
      </c>
      <c r="H491" s="404">
        <f t="shared" si="200"/>
        <v>158819.65280985995</v>
      </c>
      <c r="I491" s="404">
        <f>SUM(I486:I490)</f>
        <v>6207.7594530564129</v>
      </c>
      <c r="J491" s="404">
        <f t="shared" si="200"/>
        <v>71450.164840743702</v>
      </c>
      <c r="K491" s="404">
        <f t="shared" si="200"/>
        <v>14452.689590926762</v>
      </c>
      <c r="L491" s="404">
        <f t="shared" si="200"/>
        <v>9771.9896087197212</v>
      </c>
      <c r="M491" s="404">
        <f t="shared" si="200"/>
        <v>64727.178592773242</v>
      </c>
      <c r="N491" s="404">
        <f>SUM(N486:N490)</f>
        <v>0</v>
      </c>
      <c r="O491" s="404">
        <f t="shared" si="200"/>
        <v>0</v>
      </c>
      <c r="P491" s="404">
        <f t="shared" si="200"/>
        <v>25459.58577921008</v>
      </c>
      <c r="Q491" s="404">
        <f t="shared" si="200"/>
        <v>2.4807290234363135</v>
      </c>
      <c r="R491" s="404">
        <f t="shared" si="200"/>
        <v>104.44828408607495</v>
      </c>
      <c r="S491" s="404"/>
      <c r="T491" s="62">
        <f t="shared" si="197"/>
        <v>1060124.4136780277</v>
      </c>
      <c r="U491" s="61" t="str">
        <f t="shared" si="198"/>
        <v>ok</v>
      </c>
      <c r="V491" s="62" t="str">
        <f t="shared" si="199"/>
        <v/>
      </c>
    </row>
    <row r="492" spans="1:22" ht="12" customHeight="1" x14ac:dyDescent="0.2">
      <c r="F492" s="73"/>
    </row>
    <row r="493" spans="1:22" ht="12" customHeight="1" x14ac:dyDescent="0.2">
      <c r="A493" s="171" t="s">
        <v>1009</v>
      </c>
      <c r="F493" s="73"/>
    </row>
    <row r="494" spans="1:22" ht="12" customHeight="1" x14ac:dyDescent="0.2">
      <c r="A494" s="403" t="s">
        <v>501</v>
      </c>
      <c r="C494" s="55" t="s">
        <v>2145</v>
      </c>
      <c r="D494" s="55" t="s">
        <v>2192</v>
      </c>
      <c r="E494" s="55" t="s">
        <v>909</v>
      </c>
      <c r="F494" s="404">
        <f>VLOOKUP(C494,'Functional Assignment'!$C$1:$AU$773,24,)</f>
        <v>230207.69276467938</v>
      </c>
      <c r="G494" s="404">
        <f t="shared" ref="G494:R495" si="201">IF(VLOOKUP($E494,$D$5:$AH$1237,3,)=0,0,(VLOOKUP($E494,$D$5:$AH$1237,G$1,)/VLOOKUP($E494,$D$5:$AH$1237,3,))*$F494)</f>
        <v>157676.66152176569</v>
      </c>
      <c r="H494" s="404">
        <f t="shared" si="201"/>
        <v>36640.619958072748</v>
      </c>
      <c r="I494" s="404">
        <f t="shared" si="201"/>
        <v>2151.3565983282142</v>
      </c>
      <c r="J494" s="404">
        <f t="shared" si="201"/>
        <v>28289.713091882415</v>
      </c>
      <c r="K494" s="404">
        <f t="shared" si="201"/>
        <v>0</v>
      </c>
      <c r="L494" s="404">
        <f t="shared" si="201"/>
        <v>4276.4738480609085</v>
      </c>
      <c r="M494" s="404">
        <f t="shared" si="201"/>
        <v>0</v>
      </c>
      <c r="N494" s="404">
        <f t="shared" si="201"/>
        <v>0</v>
      </c>
      <c r="O494" s="404">
        <f t="shared" si="201"/>
        <v>0</v>
      </c>
      <c r="P494" s="404">
        <f t="shared" si="201"/>
        <v>1166.1408598618877</v>
      </c>
      <c r="Q494" s="404">
        <f t="shared" si="201"/>
        <v>0.37925724151588369</v>
      </c>
      <c r="R494" s="404">
        <f t="shared" si="201"/>
        <v>6.3476294659850998</v>
      </c>
      <c r="S494" s="404"/>
      <c r="T494" s="62">
        <f>SUM(G494:R494)</f>
        <v>230207.69276467938</v>
      </c>
      <c r="U494" s="61" t="str">
        <f>IF(ABS(F494-T494)&lt;0.01,"ok","err")</f>
        <v>ok</v>
      </c>
      <c r="V494" s="62" t="str">
        <f>IF(U494="err",T494-F494,"")</f>
        <v/>
      </c>
    </row>
    <row r="495" spans="1:22" ht="12" customHeight="1" x14ac:dyDescent="0.2">
      <c r="A495" s="403" t="s">
        <v>504</v>
      </c>
      <c r="C495" s="55" t="s">
        <v>2145</v>
      </c>
      <c r="D495" s="55" t="s">
        <v>2193</v>
      </c>
      <c r="E495" s="55" t="s">
        <v>1179</v>
      </c>
      <c r="F495" s="73">
        <f>VLOOKUP(C495,'Functional Assignment'!$C$1:$AU$773,25,)</f>
        <v>196973.03235070265</v>
      </c>
      <c r="G495" s="73">
        <f t="shared" si="201"/>
        <v>156876.63167552862</v>
      </c>
      <c r="H495" s="73">
        <f t="shared" si="201"/>
        <v>30641.005104875607</v>
      </c>
      <c r="I495" s="73">
        <f t="shared" si="201"/>
        <v>238.85219930233598</v>
      </c>
      <c r="J495" s="73">
        <f t="shared" si="201"/>
        <v>2102.2725604219668</v>
      </c>
      <c r="K495" s="73">
        <f t="shared" si="201"/>
        <v>0</v>
      </c>
      <c r="L495" s="73">
        <f t="shared" si="201"/>
        <v>51.12929891315629</v>
      </c>
      <c r="M495" s="73">
        <f t="shared" si="201"/>
        <v>0</v>
      </c>
      <c r="N495" s="73">
        <f t="shared" si="201"/>
        <v>0</v>
      </c>
      <c r="O495" s="73">
        <f t="shared" si="201"/>
        <v>0</v>
      </c>
      <c r="P495" s="73">
        <f t="shared" si="201"/>
        <v>7034.736345598054</v>
      </c>
      <c r="Q495" s="73">
        <f t="shared" si="201"/>
        <v>0.45614135283432228</v>
      </c>
      <c r="R495" s="73">
        <f t="shared" si="201"/>
        <v>27.949024710030283</v>
      </c>
      <c r="S495" s="73"/>
      <c r="T495" s="73">
        <f>SUM(G495:R495)</f>
        <v>196973.03235070259</v>
      </c>
      <c r="U495" s="61" t="str">
        <f>IF(ABS(F495-T495)&lt;0.01,"ok","err")</f>
        <v>ok</v>
      </c>
      <c r="V495" s="62" t="str">
        <f>IF(U495="err",T495-F495,"")</f>
        <v/>
      </c>
    </row>
    <row r="496" spans="1:22" ht="12" customHeight="1" x14ac:dyDescent="0.2">
      <c r="A496" s="55" t="s">
        <v>1890</v>
      </c>
      <c r="D496" s="55" t="s">
        <v>2194</v>
      </c>
      <c r="F496" s="404">
        <f t="shared" ref="F496:R496" si="202">F494+F495</f>
        <v>427180.725115382</v>
      </c>
      <c r="G496" s="404">
        <f t="shared" si="202"/>
        <v>314553.29319729435</v>
      </c>
      <c r="H496" s="404">
        <f t="shared" si="202"/>
        <v>67281.625062948355</v>
      </c>
      <c r="I496" s="404">
        <f>I494+I495</f>
        <v>2390.2087976305502</v>
      </c>
      <c r="J496" s="404">
        <f t="shared" si="202"/>
        <v>30391.985652304382</v>
      </c>
      <c r="K496" s="404">
        <f t="shared" si="202"/>
        <v>0</v>
      </c>
      <c r="L496" s="404">
        <f t="shared" si="202"/>
        <v>4327.6031469740647</v>
      </c>
      <c r="M496" s="404">
        <f t="shared" si="202"/>
        <v>0</v>
      </c>
      <c r="N496" s="404">
        <f>N494+N495</f>
        <v>0</v>
      </c>
      <c r="O496" s="404">
        <f t="shared" si="202"/>
        <v>0</v>
      </c>
      <c r="P496" s="404">
        <f t="shared" si="202"/>
        <v>8200.8772054599413</v>
      </c>
      <c r="Q496" s="404">
        <f t="shared" si="202"/>
        <v>0.83539859435020603</v>
      </c>
      <c r="R496" s="404">
        <f t="shared" si="202"/>
        <v>34.29665417601538</v>
      </c>
      <c r="S496" s="404"/>
      <c r="T496" s="62">
        <f>SUM(G496:R496)</f>
        <v>427180.72511538194</v>
      </c>
      <c r="U496" s="61" t="str">
        <f>IF(ABS(F496-T496)&lt;0.01,"ok","err")</f>
        <v>ok</v>
      </c>
      <c r="V496" s="62" t="str">
        <f>IF(U496="err",T496-F496,"")</f>
        <v/>
      </c>
    </row>
    <row r="497" spans="1:22" ht="12" customHeight="1" x14ac:dyDescent="0.2">
      <c r="F497" s="73"/>
    </row>
    <row r="498" spans="1:22" ht="12" customHeight="1" x14ac:dyDescent="0.2">
      <c r="A498" s="171" t="s">
        <v>148</v>
      </c>
      <c r="F498" s="73"/>
    </row>
    <row r="499" spans="1:22" ht="12" customHeight="1" x14ac:dyDescent="0.2">
      <c r="A499" s="403" t="s">
        <v>504</v>
      </c>
      <c r="C499" s="55" t="s">
        <v>2145</v>
      </c>
      <c r="D499" s="55" t="s">
        <v>2195</v>
      </c>
      <c r="E499" s="55" t="s">
        <v>505</v>
      </c>
      <c r="F499" s="404">
        <f>VLOOKUP(C499,'Functional Assignment'!$C$1:$AU$773,26,)</f>
        <v>132043.78229192708</v>
      </c>
      <c r="G499" s="404">
        <f t="shared" ref="G499:R499" si="203">IF(VLOOKUP($E499,$D$5:$AH$1237,3,)=0,0,(VLOOKUP($E499,$D$5:$AH$1237,G$1,)/VLOOKUP($E499,$D$5:$AH$1237,3,))*$F499)</f>
        <v>77771.164540272875</v>
      </c>
      <c r="H499" s="404">
        <f t="shared" si="203"/>
        <v>51040.455962877939</v>
      </c>
      <c r="I499" s="404">
        <f t="shared" si="203"/>
        <v>243.62328652817919</v>
      </c>
      <c r="J499" s="404">
        <f t="shared" si="203"/>
        <v>2801.2407566245597</v>
      </c>
      <c r="K499" s="404">
        <f t="shared" si="203"/>
        <v>0</v>
      </c>
      <c r="L499" s="404">
        <f t="shared" si="203"/>
        <v>51.907294330265245</v>
      </c>
      <c r="M499" s="404">
        <f t="shared" si="203"/>
        <v>0</v>
      </c>
      <c r="N499" s="404">
        <f t="shared" si="203"/>
        <v>0</v>
      </c>
      <c r="O499" s="404">
        <f t="shared" si="203"/>
        <v>0</v>
      </c>
      <c r="P499" s="404">
        <f t="shared" si="203"/>
        <v>0</v>
      </c>
      <c r="Q499" s="404">
        <f t="shared" si="203"/>
        <v>2.0373392123471703</v>
      </c>
      <c r="R499" s="404">
        <f t="shared" si="203"/>
        <v>133.3531120809057</v>
      </c>
      <c r="S499" s="404"/>
      <c r="T499" s="62">
        <f>SUM(G499:R499)</f>
        <v>132043.78229192708</v>
      </c>
      <c r="U499" s="61" t="str">
        <f>IF(ABS(F499-T499)&lt;0.01,"ok","err")</f>
        <v>ok</v>
      </c>
      <c r="V499" s="62" t="str">
        <f>IF(U499="err",T499-F499,"")</f>
        <v/>
      </c>
    </row>
    <row r="500" spans="1:22" ht="12" customHeight="1" x14ac:dyDescent="0.2">
      <c r="F500" s="73"/>
    </row>
    <row r="501" spans="1:22" ht="12" customHeight="1" x14ac:dyDescent="0.2">
      <c r="A501" s="171" t="s">
        <v>147</v>
      </c>
      <c r="F501" s="73"/>
    </row>
    <row r="502" spans="1:22" ht="12" customHeight="1" x14ac:dyDescent="0.2">
      <c r="A502" s="403" t="s">
        <v>504</v>
      </c>
      <c r="C502" s="55" t="s">
        <v>2145</v>
      </c>
      <c r="D502" s="55" t="s">
        <v>2196</v>
      </c>
      <c r="E502" s="55" t="s">
        <v>506</v>
      </c>
      <c r="F502" s="404">
        <f>VLOOKUP(C502,'Functional Assignment'!$C$1:$AU$773,27,)</f>
        <v>104640.7376074287</v>
      </c>
      <c r="G502" s="404">
        <f t="shared" ref="G502:R502" si="204">IF(VLOOKUP($E502,$D$5:$AH$1237,3,)=0,0,(VLOOKUP($E502,$D$5:$AH$1237,G$1,)/VLOOKUP($E502,$D$5:$AH$1237,3,))*$F502)</f>
        <v>65663.771916158919</v>
      </c>
      <c r="H502" s="404">
        <f t="shared" si="204"/>
        <v>23939.722152705937</v>
      </c>
      <c r="I502" s="404">
        <f t="shared" si="204"/>
        <v>559.4668606699795</v>
      </c>
      <c r="J502" s="404">
        <f t="shared" si="204"/>
        <v>7024.7151903743234</v>
      </c>
      <c r="K502" s="404">
        <f t="shared" si="204"/>
        <v>2578.2374482100672</v>
      </c>
      <c r="L502" s="404">
        <f t="shared" si="204"/>
        <v>264.13494079223915</v>
      </c>
      <c r="M502" s="404">
        <f t="shared" si="204"/>
        <v>1865.5894309878086</v>
      </c>
      <c r="N502" s="404">
        <f t="shared" si="204"/>
        <v>2537.5578082374191</v>
      </c>
      <c r="O502" s="404">
        <f t="shared" si="204"/>
        <v>93.228954684021971</v>
      </c>
      <c r="P502" s="404">
        <f t="shared" si="204"/>
        <v>0</v>
      </c>
      <c r="Q502" s="404">
        <f t="shared" si="204"/>
        <v>1.7201668272067012</v>
      </c>
      <c r="R502" s="404">
        <f t="shared" si="204"/>
        <v>112.59273778080225</v>
      </c>
      <c r="S502" s="404"/>
      <c r="T502" s="62">
        <f>SUM(G502:R502)</f>
        <v>104640.7376074287</v>
      </c>
      <c r="U502" s="61" t="str">
        <f>IF(ABS(F502-T502)&lt;0.01,"ok","err")</f>
        <v>ok</v>
      </c>
      <c r="V502" s="62" t="str">
        <f>IF(U502="err",T502-F502,"")</f>
        <v/>
      </c>
    </row>
    <row r="503" spans="1:22" ht="12" customHeight="1" x14ac:dyDescent="0.2">
      <c r="F503" s="73"/>
    </row>
    <row r="504" spans="1:22" ht="12" customHeight="1" x14ac:dyDescent="0.2">
      <c r="A504" s="171" t="s">
        <v>173</v>
      </c>
      <c r="F504" s="73"/>
    </row>
    <row r="505" spans="1:22" ht="12" customHeight="1" x14ac:dyDescent="0.2">
      <c r="A505" s="403" t="s">
        <v>504</v>
      </c>
      <c r="C505" s="55" t="s">
        <v>2145</v>
      </c>
      <c r="D505" s="55" t="s">
        <v>2197</v>
      </c>
      <c r="E505" s="55" t="s">
        <v>507</v>
      </c>
      <c r="F505" s="404">
        <f>VLOOKUP(C505,'Functional Assignment'!$C$1:$AU$773,28,)</f>
        <v>153688.49049942454</v>
      </c>
      <c r="G505" s="404">
        <f t="shared" ref="G505:R505" si="205">IF(VLOOKUP($E505,$D$5:$AH$1237,3,)=0,0,(VLOOKUP($E505,$D$5:$AH$1237,G$1,)/VLOOKUP($E505,$D$5:$AH$1237,3,))*$F505)</f>
        <v>0</v>
      </c>
      <c r="H505" s="404">
        <f t="shared" si="205"/>
        <v>0</v>
      </c>
      <c r="I505" s="404">
        <f t="shared" si="205"/>
        <v>0</v>
      </c>
      <c r="J505" s="404">
        <f t="shared" si="205"/>
        <v>0</v>
      </c>
      <c r="K505" s="404">
        <f t="shared" si="205"/>
        <v>0</v>
      </c>
      <c r="L505" s="404">
        <f t="shared" si="205"/>
        <v>0</v>
      </c>
      <c r="M505" s="404">
        <f t="shared" si="205"/>
        <v>0</v>
      </c>
      <c r="N505" s="404">
        <f t="shared" si="205"/>
        <v>0</v>
      </c>
      <c r="O505" s="404">
        <f t="shared" si="205"/>
        <v>0</v>
      </c>
      <c r="P505" s="404">
        <f t="shared" si="205"/>
        <v>153688.49049942454</v>
      </c>
      <c r="Q505" s="404">
        <f t="shared" si="205"/>
        <v>0</v>
      </c>
      <c r="R505" s="404">
        <f t="shared" si="205"/>
        <v>0</v>
      </c>
      <c r="S505" s="404"/>
      <c r="T505" s="62">
        <f>SUM(G505:R505)</f>
        <v>153688.49049942454</v>
      </c>
      <c r="U505" s="61" t="str">
        <f>IF(ABS(F505-T505)&lt;0.01,"ok","err")</f>
        <v>ok</v>
      </c>
      <c r="V505" s="62" t="str">
        <f>IF(U505="err",T505-F505,"")</f>
        <v/>
      </c>
    </row>
    <row r="506" spans="1:22" ht="12" customHeight="1" x14ac:dyDescent="0.2">
      <c r="F506" s="73"/>
    </row>
    <row r="507" spans="1:22" ht="12" customHeight="1" x14ac:dyDescent="0.2">
      <c r="A507" s="171" t="s">
        <v>381</v>
      </c>
      <c r="F507" s="73"/>
    </row>
    <row r="508" spans="1:22" ht="12" customHeight="1" x14ac:dyDescent="0.2">
      <c r="A508" s="403" t="s">
        <v>504</v>
      </c>
      <c r="C508" s="55" t="s">
        <v>2145</v>
      </c>
      <c r="D508" s="55" t="s">
        <v>2198</v>
      </c>
      <c r="E508" s="55" t="s">
        <v>508</v>
      </c>
      <c r="F508" s="404">
        <f>VLOOKUP(C508,'Functional Assignment'!$C$1:$AU$773,30,)</f>
        <v>0</v>
      </c>
      <c r="G508" s="404">
        <f t="shared" ref="G508:R508" si="206">IF(VLOOKUP($E508,$D$5:$AH$1237,3,)=0,0,(VLOOKUP($E508,$D$5:$AH$1237,G$1,)/VLOOKUP($E508,$D$5:$AH$1237,3,))*$F508)</f>
        <v>0</v>
      </c>
      <c r="H508" s="404">
        <f t="shared" si="206"/>
        <v>0</v>
      </c>
      <c r="I508" s="404">
        <f t="shared" si="206"/>
        <v>0</v>
      </c>
      <c r="J508" s="404">
        <f t="shared" si="206"/>
        <v>0</v>
      </c>
      <c r="K508" s="404">
        <f t="shared" si="206"/>
        <v>0</v>
      </c>
      <c r="L508" s="404">
        <f t="shared" si="206"/>
        <v>0</v>
      </c>
      <c r="M508" s="404">
        <f t="shared" si="206"/>
        <v>0</v>
      </c>
      <c r="N508" s="404">
        <f t="shared" si="206"/>
        <v>0</v>
      </c>
      <c r="O508" s="404">
        <f t="shared" si="206"/>
        <v>0</v>
      </c>
      <c r="P508" s="404">
        <f t="shared" si="206"/>
        <v>0</v>
      </c>
      <c r="Q508" s="404">
        <f t="shared" si="206"/>
        <v>0</v>
      </c>
      <c r="R508" s="404">
        <f t="shared" si="206"/>
        <v>0</v>
      </c>
      <c r="S508" s="404"/>
      <c r="T508" s="62">
        <f>SUM(G508:R508)</f>
        <v>0</v>
      </c>
      <c r="U508" s="61" t="str">
        <f>IF(ABS(F508-T508)&lt;0.01,"ok","err")</f>
        <v>ok</v>
      </c>
      <c r="V508" s="62" t="str">
        <f>IF(U508="err",T508-F508,"")</f>
        <v/>
      </c>
    </row>
    <row r="509" spans="1:22" ht="12" customHeight="1" x14ac:dyDescent="0.2">
      <c r="F509" s="73"/>
    </row>
    <row r="510" spans="1:22" ht="12" customHeight="1" x14ac:dyDescent="0.2">
      <c r="A510" s="171" t="s">
        <v>2090</v>
      </c>
      <c r="F510" s="73"/>
    </row>
    <row r="511" spans="1:22" ht="12" customHeight="1" x14ac:dyDescent="0.2">
      <c r="A511" s="403" t="s">
        <v>504</v>
      </c>
      <c r="C511" s="55" t="s">
        <v>2145</v>
      </c>
      <c r="D511" s="55" t="s">
        <v>2199</v>
      </c>
      <c r="E511" s="55" t="s">
        <v>508</v>
      </c>
      <c r="F511" s="404">
        <f>VLOOKUP(C511,'Functional Assignment'!$C$1:$AU$773,32,)</f>
        <v>0</v>
      </c>
      <c r="G511" s="404">
        <f t="shared" ref="G511:R511" si="207">IF(VLOOKUP($E511,$D$5:$AH$1237,3,)=0,0,(VLOOKUP($E511,$D$5:$AH$1237,G$1,)/VLOOKUP($E511,$D$5:$AH$1237,3,))*$F511)</f>
        <v>0</v>
      </c>
      <c r="H511" s="404">
        <f t="shared" si="207"/>
        <v>0</v>
      </c>
      <c r="I511" s="404">
        <f t="shared" si="207"/>
        <v>0</v>
      </c>
      <c r="J511" s="404">
        <f t="shared" si="207"/>
        <v>0</v>
      </c>
      <c r="K511" s="404">
        <f t="shared" si="207"/>
        <v>0</v>
      </c>
      <c r="L511" s="404">
        <f t="shared" si="207"/>
        <v>0</v>
      </c>
      <c r="M511" s="404">
        <f t="shared" si="207"/>
        <v>0</v>
      </c>
      <c r="N511" s="404">
        <f t="shared" si="207"/>
        <v>0</v>
      </c>
      <c r="O511" s="404">
        <f t="shared" si="207"/>
        <v>0</v>
      </c>
      <c r="P511" s="404">
        <f t="shared" si="207"/>
        <v>0</v>
      </c>
      <c r="Q511" s="404">
        <f t="shared" si="207"/>
        <v>0</v>
      </c>
      <c r="R511" s="404">
        <f t="shared" si="207"/>
        <v>0</v>
      </c>
      <c r="S511" s="404"/>
      <c r="T511" s="62">
        <f>SUM(G511:R511)</f>
        <v>0</v>
      </c>
      <c r="U511" s="61" t="str">
        <f>IF(ABS(F511-T511)&lt;0.01,"ok","err")</f>
        <v>ok</v>
      </c>
      <c r="V511" s="62" t="str">
        <f>IF(U511="err",T511-F511,"")</f>
        <v/>
      </c>
    </row>
    <row r="512" spans="1:22" ht="12" customHeight="1" x14ac:dyDescent="0.2">
      <c r="F512" s="73"/>
    </row>
    <row r="513" spans="1:22" ht="12" customHeight="1" x14ac:dyDescent="0.2">
      <c r="A513" s="171" t="s">
        <v>2089</v>
      </c>
      <c r="F513" s="73"/>
    </row>
    <row r="514" spans="1:22" ht="12" customHeight="1" x14ac:dyDescent="0.2">
      <c r="A514" s="403" t="s">
        <v>504</v>
      </c>
      <c r="C514" s="55" t="s">
        <v>2145</v>
      </c>
      <c r="D514" s="55" t="s">
        <v>2200</v>
      </c>
      <c r="E514" s="55" t="s">
        <v>509</v>
      </c>
      <c r="F514" s="404">
        <f>VLOOKUP(C514,'Functional Assignment'!$C$1:$AU$773,34,)</f>
        <v>0</v>
      </c>
      <c r="G514" s="404">
        <f t="shared" ref="G514:R514" si="208">IF(VLOOKUP($E514,$D$5:$AH$1237,3,)=0,0,(VLOOKUP($E514,$D$5:$AH$1237,G$1,)/VLOOKUP($E514,$D$5:$AH$1237,3,))*$F514)</f>
        <v>0</v>
      </c>
      <c r="H514" s="404">
        <f t="shared" si="208"/>
        <v>0</v>
      </c>
      <c r="I514" s="404">
        <f t="shared" si="208"/>
        <v>0</v>
      </c>
      <c r="J514" s="404">
        <f t="shared" si="208"/>
        <v>0</v>
      </c>
      <c r="K514" s="404">
        <f t="shared" si="208"/>
        <v>0</v>
      </c>
      <c r="L514" s="404">
        <f t="shared" si="208"/>
        <v>0</v>
      </c>
      <c r="M514" s="404">
        <f t="shared" si="208"/>
        <v>0</v>
      </c>
      <c r="N514" s="404">
        <f t="shared" si="208"/>
        <v>0</v>
      </c>
      <c r="O514" s="404">
        <f t="shared" si="208"/>
        <v>0</v>
      </c>
      <c r="P514" s="404">
        <f t="shared" si="208"/>
        <v>0</v>
      </c>
      <c r="Q514" s="404">
        <f t="shared" si="208"/>
        <v>0</v>
      </c>
      <c r="R514" s="404">
        <f t="shared" si="208"/>
        <v>0</v>
      </c>
      <c r="S514" s="404"/>
      <c r="T514" s="62">
        <f>SUM(G514:R514)</f>
        <v>0</v>
      </c>
      <c r="U514" s="61" t="str">
        <f>IF(ABS(F514-T514)&lt;0.01,"ok","err")</f>
        <v>ok</v>
      </c>
      <c r="V514" s="62" t="str">
        <f>IF(U514="err",T514-F514,"")</f>
        <v/>
      </c>
    </row>
    <row r="515" spans="1:22" ht="12" customHeight="1" x14ac:dyDescent="0.2">
      <c r="F515" s="73"/>
    </row>
    <row r="516" spans="1:22" ht="12" customHeight="1" x14ac:dyDescent="0.2">
      <c r="A516" s="55" t="s">
        <v>82</v>
      </c>
      <c r="D516" s="55" t="s">
        <v>523</v>
      </c>
      <c r="F516" s="404">
        <f>F471+F477+F480+F483+F491+F496+F499+F502+F505+F508+F511+F514</f>
        <v>8845972.7081135008</v>
      </c>
      <c r="G516" s="404">
        <f t="shared" ref="G516:R516" si="209">G471+G477+G480+G483+G491+G496+G499+G502+G505+G508+G511+G514</f>
        <v>3933396.762952053</v>
      </c>
      <c r="H516" s="404">
        <f t="shared" si="209"/>
        <v>1123085.1425136386</v>
      </c>
      <c r="I516" s="404">
        <f>I471+I477+I480+I483+I491+I496+I499+I502+I505+I508+I511+I514</f>
        <v>66747.656896415225</v>
      </c>
      <c r="J516" s="404">
        <f t="shared" si="209"/>
        <v>1172055.2112596855</v>
      </c>
      <c r="K516" s="404">
        <f t="shared" si="209"/>
        <v>260898.83222590474</v>
      </c>
      <c r="L516" s="404">
        <f t="shared" si="209"/>
        <v>179946.05694395304</v>
      </c>
      <c r="M516" s="404">
        <f>M471+M477+M480+M483+M491+M496+M499+M502+M505+M508+M511+M514</f>
        <v>1264948.3318721741</v>
      </c>
      <c r="N516" s="404">
        <f>N471+N477+N480+N483+N491+N496+N499+N502+N505+N508+N511+N514</f>
        <v>493471.66662590974</v>
      </c>
      <c r="O516" s="404">
        <f t="shared" si="209"/>
        <v>145524.3237057619</v>
      </c>
      <c r="P516" s="404">
        <f t="shared" si="209"/>
        <v>205169.20173176553</v>
      </c>
      <c r="Q516" s="404">
        <f t="shared" si="209"/>
        <v>12.868534376386407</v>
      </c>
      <c r="R516" s="404">
        <f t="shared" si="209"/>
        <v>716.65285186548556</v>
      </c>
      <c r="S516" s="404"/>
      <c r="T516" s="62">
        <f>SUM(G516:R516)</f>
        <v>8845972.7081135027</v>
      </c>
      <c r="U516" s="61" t="str">
        <f>IF(ABS(F516-T516)&lt;0.01,"ok","err")</f>
        <v>ok</v>
      </c>
      <c r="V516" s="62" t="str">
        <f>IF(U516="err",T516-F516,"")</f>
        <v/>
      </c>
    </row>
    <row r="517" spans="1:22" ht="12" customHeight="1" x14ac:dyDescent="0.2">
      <c r="F517" s="404"/>
      <c r="G517" s="404"/>
      <c r="H517" s="404"/>
      <c r="I517" s="404"/>
      <c r="J517" s="404"/>
      <c r="K517" s="404"/>
      <c r="L517" s="404"/>
      <c r="M517" s="404"/>
      <c r="N517" s="404"/>
      <c r="O517" s="404"/>
      <c r="P517" s="404"/>
      <c r="Q517" s="404"/>
      <c r="R517" s="404"/>
      <c r="S517" s="404"/>
      <c r="T517" s="62"/>
      <c r="U517" s="61"/>
    </row>
    <row r="518" spans="1:22" ht="12" customHeight="1" x14ac:dyDescent="0.2">
      <c r="F518" s="404"/>
      <c r="G518" s="404"/>
      <c r="H518" s="404"/>
      <c r="I518" s="404"/>
      <c r="J518" s="404"/>
      <c r="K518" s="404"/>
      <c r="L518" s="404"/>
      <c r="M518" s="404"/>
      <c r="N518" s="404"/>
      <c r="O518" s="404"/>
      <c r="P518" s="404"/>
      <c r="Q518" s="404"/>
      <c r="R518" s="404"/>
      <c r="S518" s="404"/>
      <c r="T518" s="62"/>
      <c r="U518" s="61"/>
    </row>
    <row r="519" spans="1:22" ht="12" customHeight="1" x14ac:dyDescent="0.2">
      <c r="F519" s="404"/>
      <c r="G519" s="404"/>
      <c r="H519" s="404"/>
      <c r="I519" s="404"/>
      <c r="J519" s="404"/>
      <c r="K519" s="404"/>
      <c r="L519" s="404"/>
      <c r="M519" s="404"/>
      <c r="N519" s="404"/>
      <c r="O519" s="404"/>
      <c r="P519" s="404"/>
      <c r="Q519" s="404"/>
      <c r="R519" s="404"/>
      <c r="S519" s="404"/>
      <c r="T519" s="62"/>
      <c r="U519" s="61"/>
    </row>
    <row r="520" spans="1:22" ht="12" customHeight="1" x14ac:dyDescent="0.2">
      <c r="A520" s="402" t="s">
        <v>881</v>
      </c>
    </row>
    <row r="522" spans="1:22" ht="12" customHeight="1" x14ac:dyDescent="0.2">
      <c r="A522" s="171" t="s">
        <v>166</v>
      </c>
    </row>
    <row r="523" spans="1:22" ht="12" customHeight="1" x14ac:dyDescent="0.2">
      <c r="A523" s="403" t="s">
        <v>153</v>
      </c>
      <c r="C523" s="55" t="s">
        <v>1175</v>
      </c>
      <c r="D523" s="55" t="s">
        <v>2174</v>
      </c>
      <c r="E523" s="55" t="s">
        <v>2831</v>
      </c>
      <c r="F523" s="404">
        <f>VLOOKUP(C523,'Functional Assignment'!$C$1:$AU$746,6,)</f>
        <v>0</v>
      </c>
      <c r="G523" s="404">
        <f t="shared" ref="G523:R528" si="210">IF(VLOOKUP($E523,$D$5:$AH$1305,3,)=0,0,(VLOOKUP($E523,$D$5:$AH$1305,G$1,)/VLOOKUP($E523,$D$5:$AH$1305,3,))*$F523)</f>
        <v>0</v>
      </c>
      <c r="H523" s="404">
        <f t="shared" si="210"/>
        <v>0</v>
      </c>
      <c r="I523" s="404">
        <f t="shared" si="210"/>
        <v>0</v>
      </c>
      <c r="J523" s="404">
        <f t="shared" si="210"/>
        <v>0</v>
      </c>
      <c r="K523" s="404">
        <f t="shared" si="210"/>
        <v>0</v>
      </c>
      <c r="L523" s="404">
        <f t="shared" si="210"/>
        <v>0</v>
      </c>
      <c r="M523" s="404">
        <f t="shared" si="210"/>
        <v>0</v>
      </c>
      <c r="N523" s="404">
        <f t="shared" si="210"/>
        <v>0</v>
      </c>
      <c r="O523" s="404">
        <f t="shared" si="210"/>
        <v>0</v>
      </c>
      <c r="P523" s="404">
        <f t="shared" si="210"/>
        <v>0</v>
      </c>
      <c r="Q523" s="404">
        <f t="shared" si="210"/>
        <v>0</v>
      </c>
      <c r="R523" s="404">
        <f t="shared" si="210"/>
        <v>0</v>
      </c>
      <c r="S523" s="404"/>
      <c r="T523" s="62">
        <f t="shared" ref="T523:T529" si="211">SUM(G523:R523)</f>
        <v>0</v>
      </c>
      <c r="U523" s="61" t="str">
        <f t="shared" ref="U523:U529" si="212">IF(ABS(F523-T523)&lt;0.01,"ok","err")</f>
        <v>ok</v>
      </c>
      <c r="V523" s="62" t="str">
        <f t="shared" ref="V523:V529" si="213">IF(U523="err",T523-F523,"")</f>
        <v/>
      </c>
    </row>
    <row r="524" spans="1:22" ht="12" customHeight="1" x14ac:dyDescent="0.2">
      <c r="A524" s="403" t="s">
        <v>157</v>
      </c>
      <c r="C524" s="55" t="s">
        <v>1175</v>
      </c>
      <c r="D524" s="55" t="s">
        <v>2175</v>
      </c>
      <c r="E524" s="55" t="s">
        <v>59</v>
      </c>
      <c r="F524" s="73">
        <f>VLOOKUP(C524,'Functional Assignment'!$C$1:$AU$746,7,)</f>
        <v>0</v>
      </c>
      <c r="G524" s="73">
        <f t="shared" si="210"/>
        <v>0</v>
      </c>
      <c r="H524" s="73">
        <f t="shared" si="210"/>
        <v>0</v>
      </c>
      <c r="I524" s="73">
        <f t="shared" si="210"/>
        <v>0</v>
      </c>
      <c r="J524" s="73">
        <f t="shared" si="210"/>
        <v>0</v>
      </c>
      <c r="K524" s="73">
        <f t="shared" si="210"/>
        <v>0</v>
      </c>
      <c r="L524" s="73">
        <f t="shared" si="210"/>
        <v>0</v>
      </c>
      <c r="M524" s="73">
        <f t="shared" si="210"/>
        <v>0</v>
      </c>
      <c r="N524" s="73">
        <f t="shared" si="210"/>
        <v>0</v>
      </c>
      <c r="O524" s="73">
        <f t="shared" si="210"/>
        <v>0</v>
      </c>
      <c r="P524" s="73">
        <f t="shared" si="210"/>
        <v>0</v>
      </c>
      <c r="Q524" s="73">
        <f t="shared" si="210"/>
        <v>0</v>
      </c>
      <c r="R524" s="73">
        <f t="shared" si="210"/>
        <v>0</v>
      </c>
      <c r="S524" s="73"/>
      <c r="T524" s="73">
        <f t="shared" si="211"/>
        <v>0</v>
      </c>
      <c r="U524" s="61" t="str">
        <f t="shared" si="212"/>
        <v>ok</v>
      </c>
      <c r="V524" s="62" t="str">
        <f t="shared" si="213"/>
        <v/>
      </c>
    </row>
    <row r="525" spans="1:22" ht="12" customHeight="1" x14ac:dyDescent="0.2">
      <c r="A525" s="403" t="s">
        <v>154</v>
      </c>
      <c r="C525" s="55" t="s">
        <v>1175</v>
      </c>
      <c r="D525" s="55" t="s">
        <v>2176</v>
      </c>
      <c r="E525" s="55" t="s">
        <v>62</v>
      </c>
      <c r="F525" s="73">
        <f>VLOOKUP(C525,'Functional Assignment'!$C$1:$AU$746,8,)</f>
        <v>0</v>
      </c>
      <c r="G525" s="73">
        <f t="shared" si="210"/>
        <v>0</v>
      </c>
      <c r="H525" s="73">
        <f t="shared" si="210"/>
        <v>0</v>
      </c>
      <c r="I525" s="73">
        <f t="shared" si="210"/>
        <v>0</v>
      </c>
      <c r="J525" s="73">
        <f t="shared" si="210"/>
        <v>0</v>
      </c>
      <c r="K525" s="73">
        <f t="shared" si="210"/>
        <v>0</v>
      </c>
      <c r="L525" s="73">
        <f t="shared" si="210"/>
        <v>0</v>
      </c>
      <c r="M525" s="73">
        <f t="shared" si="210"/>
        <v>0</v>
      </c>
      <c r="N525" s="73">
        <f t="shared" si="210"/>
        <v>0</v>
      </c>
      <c r="O525" s="73">
        <f t="shared" si="210"/>
        <v>0</v>
      </c>
      <c r="P525" s="73">
        <f t="shared" si="210"/>
        <v>0</v>
      </c>
      <c r="Q525" s="73">
        <f t="shared" si="210"/>
        <v>0</v>
      </c>
      <c r="R525" s="73">
        <f t="shared" si="210"/>
        <v>0</v>
      </c>
      <c r="S525" s="73"/>
      <c r="T525" s="73">
        <f t="shared" si="211"/>
        <v>0</v>
      </c>
      <c r="U525" s="61" t="str">
        <f t="shared" si="212"/>
        <v>ok</v>
      </c>
      <c r="V525" s="62" t="str">
        <f t="shared" si="213"/>
        <v/>
      </c>
    </row>
    <row r="526" spans="1:22" ht="12" customHeight="1" x14ac:dyDescent="0.2">
      <c r="A526" s="403" t="s">
        <v>155</v>
      </c>
      <c r="C526" s="55" t="s">
        <v>1175</v>
      </c>
      <c r="D526" s="55" t="s">
        <v>2177</v>
      </c>
      <c r="E526" s="55" t="s">
        <v>502</v>
      </c>
      <c r="F526" s="73">
        <f>VLOOKUP(C526,'Functional Assignment'!$C$1:$AU$746,9,)</f>
        <v>-767.27434829426568</v>
      </c>
      <c r="G526" s="73">
        <f t="shared" si="210"/>
        <v>-256.57672655147002</v>
      </c>
      <c r="H526" s="73">
        <f t="shared" si="210"/>
        <v>-82.127591063473105</v>
      </c>
      <c r="I526" s="73">
        <f t="shared" si="210"/>
        <v>-6.7870078587355911</v>
      </c>
      <c r="J526" s="73">
        <f t="shared" si="210"/>
        <v>-132.20439199411376</v>
      </c>
      <c r="K526" s="73">
        <f t="shared" si="210"/>
        <v>-30.229106920975781</v>
      </c>
      <c r="L526" s="73">
        <f t="shared" si="210"/>
        <v>-19.570860630214327</v>
      </c>
      <c r="M526" s="73">
        <f t="shared" si="210"/>
        <v>-150.95841617602724</v>
      </c>
      <c r="N526" s="73">
        <f t="shared" si="210"/>
        <v>-62.99051401336083</v>
      </c>
      <c r="O526" s="73">
        <f t="shared" si="210"/>
        <v>-20.458560839243059</v>
      </c>
      <c r="P526" s="73">
        <f t="shared" si="210"/>
        <v>-5.3211200805189325</v>
      </c>
      <c r="Q526" s="73">
        <f t="shared" si="210"/>
        <v>-1.7287350083463654E-3</v>
      </c>
      <c r="R526" s="73">
        <f t="shared" si="210"/>
        <v>-4.8323431124692201E-2</v>
      </c>
      <c r="S526" s="73"/>
      <c r="T526" s="73">
        <f t="shared" si="211"/>
        <v>-767.27434829426556</v>
      </c>
      <c r="U526" s="61" t="str">
        <f t="shared" si="212"/>
        <v>ok</v>
      </c>
      <c r="V526" s="62" t="str">
        <f t="shared" si="213"/>
        <v/>
      </c>
    </row>
    <row r="527" spans="1:22" ht="12" customHeight="1" x14ac:dyDescent="0.2">
      <c r="A527" s="403" t="s">
        <v>158</v>
      </c>
      <c r="C527" s="55" t="s">
        <v>1175</v>
      </c>
      <c r="D527" s="55" t="s">
        <v>2178</v>
      </c>
      <c r="E527" s="55" t="s">
        <v>502</v>
      </c>
      <c r="F527" s="73">
        <f>VLOOKUP(C527,'Functional Assignment'!$C$1:$AU$746,10,)</f>
        <v>0</v>
      </c>
      <c r="G527" s="73">
        <f t="shared" si="210"/>
        <v>0</v>
      </c>
      <c r="H527" s="73">
        <f t="shared" si="210"/>
        <v>0</v>
      </c>
      <c r="I527" s="73">
        <f t="shared" si="210"/>
        <v>0</v>
      </c>
      <c r="J527" s="73">
        <f t="shared" si="210"/>
        <v>0</v>
      </c>
      <c r="K527" s="73">
        <f t="shared" si="210"/>
        <v>0</v>
      </c>
      <c r="L527" s="73">
        <f t="shared" si="210"/>
        <v>0</v>
      </c>
      <c r="M527" s="73">
        <f t="shared" si="210"/>
        <v>0</v>
      </c>
      <c r="N527" s="73">
        <f t="shared" si="210"/>
        <v>0</v>
      </c>
      <c r="O527" s="73">
        <f t="shared" si="210"/>
        <v>0</v>
      </c>
      <c r="P527" s="73">
        <f t="shared" si="210"/>
        <v>0</v>
      </c>
      <c r="Q527" s="73">
        <f t="shared" si="210"/>
        <v>0</v>
      </c>
      <c r="R527" s="73">
        <f t="shared" si="210"/>
        <v>0</v>
      </c>
      <c r="S527" s="73"/>
      <c r="T527" s="73">
        <f t="shared" si="211"/>
        <v>0</v>
      </c>
      <c r="U527" s="61" t="str">
        <f t="shared" si="212"/>
        <v>ok</v>
      </c>
      <c r="V527" s="62" t="str">
        <f t="shared" si="213"/>
        <v/>
      </c>
    </row>
    <row r="528" spans="1:22" ht="12" customHeight="1" x14ac:dyDescent="0.2">
      <c r="A528" s="403" t="s">
        <v>156</v>
      </c>
      <c r="C528" s="55" t="s">
        <v>1175</v>
      </c>
      <c r="D528" s="55" t="s">
        <v>2179</v>
      </c>
      <c r="E528" s="55" t="s">
        <v>502</v>
      </c>
      <c r="F528" s="73">
        <f>VLOOKUP(C528,'Functional Assignment'!$C$1:$AU$746,11,)</f>
        <v>0</v>
      </c>
      <c r="G528" s="73">
        <f t="shared" si="210"/>
        <v>0</v>
      </c>
      <c r="H528" s="73">
        <f t="shared" si="210"/>
        <v>0</v>
      </c>
      <c r="I528" s="73">
        <f t="shared" si="210"/>
        <v>0</v>
      </c>
      <c r="J528" s="73">
        <f t="shared" si="210"/>
        <v>0</v>
      </c>
      <c r="K528" s="73">
        <f t="shared" si="210"/>
        <v>0</v>
      </c>
      <c r="L528" s="73">
        <f t="shared" si="210"/>
        <v>0</v>
      </c>
      <c r="M528" s="73">
        <f t="shared" si="210"/>
        <v>0</v>
      </c>
      <c r="N528" s="73">
        <f t="shared" si="210"/>
        <v>0</v>
      </c>
      <c r="O528" s="73">
        <f t="shared" si="210"/>
        <v>0</v>
      </c>
      <c r="P528" s="73">
        <f t="shared" si="210"/>
        <v>0</v>
      </c>
      <c r="Q528" s="73">
        <f t="shared" si="210"/>
        <v>0</v>
      </c>
      <c r="R528" s="73">
        <f t="shared" si="210"/>
        <v>0</v>
      </c>
      <c r="S528" s="73"/>
      <c r="T528" s="73">
        <f t="shared" si="211"/>
        <v>0</v>
      </c>
      <c r="U528" s="61" t="str">
        <f t="shared" si="212"/>
        <v>ok</v>
      </c>
      <c r="V528" s="62" t="str">
        <f t="shared" si="213"/>
        <v/>
      </c>
    </row>
    <row r="529" spans="1:22" ht="12" customHeight="1" x14ac:dyDescent="0.2">
      <c r="A529" s="55" t="s">
        <v>189</v>
      </c>
      <c r="D529" s="55" t="s">
        <v>522</v>
      </c>
      <c r="F529" s="404">
        <f t="shared" ref="F529:R529" si="214">SUM(F523:F528)</f>
        <v>-767.27434829426568</v>
      </c>
      <c r="G529" s="404">
        <f t="shared" si="214"/>
        <v>-256.57672655147002</v>
      </c>
      <c r="H529" s="404">
        <f t="shared" si="214"/>
        <v>-82.127591063473105</v>
      </c>
      <c r="I529" s="404">
        <f>SUM(I523:I528)</f>
        <v>-6.7870078587355911</v>
      </c>
      <c r="J529" s="404">
        <f t="shared" si="214"/>
        <v>-132.20439199411376</v>
      </c>
      <c r="K529" s="404">
        <f t="shared" si="214"/>
        <v>-30.229106920975781</v>
      </c>
      <c r="L529" s="404">
        <f t="shared" si="214"/>
        <v>-19.570860630214327</v>
      </c>
      <c r="M529" s="404">
        <f t="shared" si="214"/>
        <v>-150.95841617602724</v>
      </c>
      <c r="N529" s="404">
        <f>SUM(N523:N528)</f>
        <v>-62.99051401336083</v>
      </c>
      <c r="O529" s="404">
        <f t="shared" si="214"/>
        <v>-20.458560839243059</v>
      </c>
      <c r="P529" s="404">
        <f t="shared" si="214"/>
        <v>-5.3211200805189325</v>
      </c>
      <c r="Q529" s="404">
        <f t="shared" si="214"/>
        <v>-1.7287350083463654E-3</v>
      </c>
      <c r="R529" s="404">
        <f t="shared" si="214"/>
        <v>-4.8323431124692201E-2</v>
      </c>
      <c r="S529" s="404"/>
      <c r="T529" s="62">
        <f t="shared" si="211"/>
        <v>-767.27434829426556</v>
      </c>
      <c r="U529" s="61" t="str">
        <f t="shared" si="212"/>
        <v>ok</v>
      </c>
      <c r="V529" s="62" t="str">
        <f t="shared" si="213"/>
        <v/>
      </c>
    </row>
    <row r="530" spans="1:22" ht="12" customHeight="1" x14ac:dyDescent="0.2">
      <c r="F530" s="73"/>
      <c r="G530" s="73"/>
    </row>
    <row r="531" spans="1:22" ht="12" customHeight="1" x14ac:dyDescent="0.2">
      <c r="A531" s="171" t="s">
        <v>554</v>
      </c>
      <c r="F531" s="73"/>
      <c r="G531" s="73"/>
    </row>
    <row r="532" spans="1:22" ht="12" customHeight="1" x14ac:dyDescent="0.2">
      <c r="A532" s="403" t="s">
        <v>159</v>
      </c>
      <c r="C532" s="55" t="s">
        <v>1175</v>
      </c>
      <c r="D532" s="55" t="s">
        <v>2180</v>
      </c>
      <c r="E532" s="55" t="s">
        <v>2831</v>
      </c>
      <c r="F532" s="404">
        <f>VLOOKUP(C532,'Functional Assignment'!$C$1:$AU$746,13,)</f>
        <v>0</v>
      </c>
      <c r="G532" s="404">
        <f t="shared" ref="G532:R534" si="215">IF(VLOOKUP($E532,$D$5:$AH$1305,3,)=0,0,(VLOOKUP($E532,$D$5:$AH$1305,G$1,)/VLOOKUP($E532,$D$5:$AH$1305,3,))*$F532)</f>
        <v>0</v>
      </c>
      <c r="H532" s="404">
        <f t="shared" si="215"/>
        <v>0</v>
      </c>
      <c r="I532" s="404">
        <f t="shared" si="215"/>
        <v>0</v>
      </c>
      <c r="J532" s="404">
        <f t="shared" si="215"/>
        <v>0</v>
      </c>
      <c r="K532" s="404">
        <f t="shared" si="215"/>
        <v>0</v>
      </c>
      <c r="L532" s="404">
        <f t="shared" si="215"/>
        <v>0</v>
      </c>
      <c r="M532" s="404">
        <f t="shared" si="215"/>
        <v>0</v>
      </c>
      <c r="N532" s="404">
        <f t="shared" si="215"/>
        <v>0</v>
      </c>
      <c r="O532" s="404">
        <f t="shared" si="215"/>
        <v>0</v>
      </c>
      <c r="P532" s="404">
        <f t="shared" si="215"/>
        <v>0</v>
      </c>
      <c r="Q532" s="404">
        <f t="shared" si="215"/>
        <v>0</v>
      </c>
      <c r="R532" s="404">
        <f t="shared" si="215"/>
        <v>0</v>
      </c>
      <c r="S532" s="404"/>
      <c r="T532" s="62">
        <f>SUM(G532:R532)</f>
        <v>0</v>
      </c>
      <c r="U532" s="61" t="str">
        <f>IF(ABS(F532-T532)&lt;0.01,"ok","err")</f>
        <v>ok</v>
      </c>
      <c r="V532" s="62" t="str">
        <f>IF(U532="err",T532-F532,"")</f>
        <v/>
      </c>
    </row>
    <row r="533" spans="1:22" ht="12" customHeight="1" x14ac:dyDescent="0.2">
      <c r="A533" s="403" t="s">
        <v>161</v>
      </c>
      <c r="C533" s="55" t="s">
        <v>1175</v>
      </c>
      <c r="D533" s="55" t="s">
        <v>2181</v>
      </c>
      <c r="E533" s="55" t="s">
        <v>59</v>
      </c>
      <c r="F533" s="73">
        <f>VLOOKUP(C533,'Functional Assignment'!$C$1:$AU$746,14,)</f>
        <v>0</v>
      </c>
      <c r="G533" s="73">
        <f t="shared" si="215"/>
        <v>0</v>
      </c>
      <c r="H533" s="73">
        <f t="shared" si="215"/>
        <v>0</v>
      </c>
      <c r="I533" s="73">
        <f t="shared" si="215"/>
        <v>0</v>
      </c>
      <c r="J533" s="73">
        <f t="shared" si="215"/>
        <v>0</v>
      </c>
      <c r="K533" s="73">
        <f t="shared" si="215"/>
        <v>0</v>
      </c>
      <c r="L533" s="73">
        <f t="shared" si="215"/>
        <v>0</v>
      </c>
      <c r="M533" s="73">
        <f t="shared" si="215"/>
        <v>0</v>
      </c>
      <c r="N533" s="73">
        <f t="shared" si="215"/>
        <v>0</v>
      </c>
      <c r="O533" s="73">
        <f t="shared" si="215"/>
        <v>0</v>
      </c>
      <c r="P533" s="73">
        <f t="shared" si="215"/>
        <v>0</v>
      </c>
      <c r="Q533" s="73">
        <f t="shared" si="215"/>
        <v>0</v>
      </c>
      <c r="R533" s="73">
        <f t="shared" si="215"/>
        <v>0</v>
      </c>
      <c r="S533" s="73"/>
      <c r="T533" s="73">
        <f>SUM(G533:R533)</f>
        <v>0</v>
      </c>
      <c r="U533" s="61" t="str">
        <f>IF(ABS(F533-T533)&lt;0.01,"ok","err")</f>
        <v>ok</v>
      </c>
      <c r="V533" s="62" t="str">
        <f>IF(U533="err",T533-F533,"")</f>
        <v/>
      </c>
    </row>
    <row r="534" spans="1:22" ht="12" customHeight="1" x14ac:dyDescent="0.2">
      <c r="A534" s="403" t="s">
        <v>160</v>
      </c>
      <c r="C534" s="55" t="s">
        <v>1175</v>
      </c>
      <c r="D534" s="55" t="s">
        <v>2182</v>
      </c>
      <c r="E534" s="55" t="s">
        <v>62</v>
      </c>
      <c r="F534" s="73">
        <f>VLOOKUP(C534,'Functional Assignment'!$C$1:$AU$746,15,)</f>
        <v>0</v>
      </c>
      <c r="G534" s="73">
        <f t="shared" si="215"/>
        <v>0</v>
      </c>
      <c r="H534" s="73">
        <f t="shared" si="215"/>
        <v>0</v>
      </c>
      <c r="I534" s="73">
        <f t="shared" si="215"/>
        <v>0</v>
      </c>
      <c r="J534" s="73">
        <f t="shared" si="215"/>
        <v>0</v>
      </c>
      <c r="K534" s="73">
        <f t="shared" si="215"/>
        <v>0</v>
      </c>
      <c r="L534" s="73">
        <f t="shared" si="215"/>
        <v>0</v>
      </c>
      <c r="M534" s="73">
        <f t="shared" si="215"/>
        <v>0</v>
      </c>
      <c r="N534" s="73">
        <f t="shared" si="215"/>
        <v>0</v>
      </c>
      <c r="O534" s="73">
        <f t="shared" si="215"/>
        <v>0</v>
      </c>
      <c r="P534" s="73">
        <f t="shared" si="215"/>
        <v>0</v>
      </c>
      <c r="Q534" s="73">
        <f t="shared" si="215"/>
        <v>0</v>
      </c>
      <c r="R534" s="73">
        <f t="shared" si="215"/>
        <v>0</v>
      </c>
      <c r="S534" s="73"/>
      <c r="T534" s="73">
        <f>SUM(G534:R534)</f>
        <v>0</v>
      </c>
      <c r="U534" s="61" t="str">
        <f>IF(ABS(F534-T534)&lt;0.01,"ok","err")</f>
        <v>ok</v>
      </c>
      <c r="V534" s="62" t="str">
        <f>IF(U534="err",T534-F534,"")</f>
        <v/>
      </c>
    </row>
    <row r="535" spans="1:22" ht="12" customHeight="1" x14ac:dyDescent="0.2">
      <c r="A535" s="55" t="s">
        <v>556</v>
      </c>
      <c r="D535" s="55" t="s">
        <v>2183</v>
      </c>
      <c r="F535" s="404">
        <f t="shared" ref="F535:R535" si="216">SUM(F532:F534)</f>
        <v>0</v>
      </c>
      <c r="G535" s="404">
        <f t="shared" si="216"/>
        <v>0</v>
      </c>
      <c r="H535" s="404">
        <f t="shared" si="216"/>
        <v>0</v>
      </c>
      <c r="I535" s="404">
        <f>SUM(I532:I534)</f>
        <v>0</v>
      </c>
      <c r="J535" s="404">
        <f t="shared" si="216"/>
        <v>0</v>
      </c>
      <c r="K535" s="404">
        <f t="shared" si="216"/>
        <v>0</v>
      </c>
      <c r="L535" s="404">
        <f t="shared" si="216"/>
        <v>0</v>
      </c>
      <c r="M535" s="404">
        <f t="shared" si="216"/>
        <v>0</v>
      </c>
      <c r="N535" s="404">
        <f>SUM(N532:N534)</f>
        <v>0</v>
      </c>
      <c r="O535" s="404">
        <f t="shared" si="216"/>
        <v>0</v>
      </c>
      <c r="P535" s="404">
        <f t="shared" si="216"/>
        <v>0</v>
      </c>
      <c r="Q535" s="404">
        <f t="shared" si="216"/>
        <v>0</v>
      </c>
      <c r="R535" s="404">
        <f t="shared" si="216"/>
        <v>0</v>
      </c>
      <c r="S535" s="404"/>
      <c r="T535" s="62">
        <f>SUM(G535:R535)</f>
        <v>0</v>
      </c>
      <c r="U535" s="61" t="str">
        <f>IF(ABS(F535-T535)&lt;0.01,"ok","err")</f>
        <v>ok</v>
      </c>
      <c r="V535" s="62" t="str">
        <f>IF(U535="err",T535-F535,"")</f>
        <v/>
      </c>
    </row>
    <row r="536" spans="1:22" ht="12" customHeight="1" x14ac:dyDescent="0.2">
      <c r="F536" s="73"/>
      <c r="G536" s="73"/>
    </row>
    <row r="537" spans="1:22" ht="12" customHeight="1" x14ac:dyDescent="0.2">
      <c r="A537" s="171" t="s">
        <v>2087</v>
      </c>
      <c r="F537" s="73"/>
      <c r="G537" s="73"/>
    </row>
    <row r="538" spans="1:22" ht="12" customHeight="1" x14ac:dyDescent="0.2">
      <c r="A538" s="403" t="s">
        <v>174</v>
      </c>
      <c r="C538" s="55" t="s">
        <v>1175</v>
      </c>
      <c r="D538" s="55" t="s">
        <v>2184</v>
      </c>
      <c r="E538" s="55" t="s">
        <v>2730</v>
      </c>
      <c r="F538" s="404">
        <f>VLOOKUP(C538,'Functional Assignment'!$C$1:$AU$746,17,)</f>
        <v>0</v>
      </c>
      <c r="G538" s="404">
        <f t="shared" ref="G538:R538" si="217">IF(VLOOKUP($E538,$D$5:$AH$1305,3,)=0,0,(VLOOKUP($E538,$D$5:$AH$1305,G$1,)/VLOOKUP($E538,$D$5:$AH$1305,3,))*$F538)</f>
        <v>0</v>
      </c>
      <c r="H538" s="404">
        <f t="shared" si="217"/>
        <v>0</v>
      </c>
      <c r="I538" s="404">
        <f t="shared" si="217"/>
        <v>0</v>
      </c>
      <c r="J538" s="404">
        <f t="shared" si="217"/>
        <v>0</v>
      </c>
      <c r="K538" s="404">
        <f t="shared" si="217"/>
        <v>0</v>
      </c>
      <c r="L538" s="404">
        <f t="shared" si="217"/>
        <v>0</v>
      </c>
      <c r="M538" s="404">
        <f t="shared" si="217"/>
        <v>0</v>
      </c>
      <c r="N538" s="404">
        <f t="shared" si="217"/>
        <v>0</v>
      </c>
      <c r="O538" s="404">
        <f t="shared" si="217"/>
        <v>0</v>
      </c>
      <c r="P538" s="404">
        <f t="shared" si="217"/>
        <v>0</v>
      </c>
      <c r="Q538" s="404">
        <f t="shared" si="217"/>
        <v>0</v>
      </c>
      <c r="R538" s="404">
        <f t="shared" si="217"/>
        <v>0</v>
      </c>
      <c r="S538" s="404"/>
      <c r="T538" s="62">
        <f>SUM(G538:R538)</f>
        <v>0</v>
      </c>
      <c r="U538" s="61" t="str">
        <f>IF(ABS(F538-T538)&lt;0.01,"ok","err")</f>
        <v>ok</v>
      </c>
      <c r="V538" s="62" t="str">
        <f>IF(U538="err",T538-F538,"")</f>
        <v/>
      </c>
    </row>
    <row r="539" spans="1:22" ht="12" customHeight="1" x14ac:dyDescent="0.2">
      <c r="F539" s="73"/>
    </row>
    <row r="540" spans="1:22" ht="12" customHeight="1" x14ac:dyDescent="0.2">
      <c r="A540" s="171" t="s">
        <v>2088</v>
      </c>
      <c r="F540" s="73"/>
      <c r="G540" s="73"/>
    </row>
    <row r="541" spans="1:22" ht="12" customHeight="1" x14ac:dyDescent="0.2">
      <c r="A541" s="403" t="s">
        <v>176</v>
      </c>
      <c r="C541" s="55" t="s">
        <v>1175</v>
      </c>
      <c r="D541" s="55" t="s">
        <v>2185</v>
      </c>
      <c r="E541" s="55" t="s">
        <v>2729</v>
      </c>
      <c r="F541" s="404">
        <f>VLOOKUP(C541,'Functional Assignment'!$C$1:$AU$746,18,)</f>
        <v>0</v>
      </c>
      <c r="G541" s="404">
        <f t="shared" ref="G541:R541" si="218">IF(VLOOKUP($E541,$D$5:$AH$1305,3,)=0,0,(VLOOKUP($E541,$D$5:$AH$1305,G$1,)/VLOOKUP($E541,$D$5:$AH$1305,3,))*$F541)</f>
        <v>0</v>
      </c>
      <c r="H541" s="404">
        <f t="shared" si="218"/>
        <v>0</v>
      </c>
      <c r="I541" s="404">
        <f t="shared" si="218"/>
        <v>0</v>
      </c>
      <c r="J541" s="404">
        <f t="shared" si="218"/>
        <v>0</v>
      </c>
      <c r="K541" s="404">
        <f t="shared" si="218"/>
        <v>0</v>
      </c>
      <c r="L541" s="404">
        <f t="shared" si="218"/>
        <v>0</v>
      </c>
      <c r="M541" s="404">
        <f t="shared" si="218"/>
        <v>0</v>
      </c>
      <c r="N541" s="404">
        <f t="shared" si="218"/>
        <v>0</v>
      </c>
      <c r="O541" s="404">
        <f t="shared" si="218"/>
        <v>0</v>
      </c>
      <c r="P541" s="404">
        <f t="shared" si="218"/>
        <v>0</v>
      </c>
      <c r="Q541" s="404">
        <f t="shared" si="218"/>
        <v>0</v>
      </c>
      <c r="R541" s="404">
        <f t="shared" si="218"/>
        <v>0</v>
      </c>
      <c r="S541" s="404"/>
      <c r="T541" s="62">
        <f>SUM(G541:R541)</f>
        <v>0</v>
      </c>
      <c r="U541" s="61" t="str">
        <f>IF(ABS(F541-T541)&lt;0.01,"ok","err")</f>
        <v>ok</v>
      </c>
      <c r="V541" s="62" t="str">
        <f>IF(U541="err",T541-F541,"")</f>
        <v/>
      </c>
    </row>
    <row r="542" spans="1:22" ht="12" customHeight="1" x14ac:dyDescent="0.2">
      <c r="F542" s="73"/>
    </row>
    <row r="543" spans="1:22" ht="12" customHeight="1" x14ac:dyDescent="0.2">
      <c r="A543" s="171" t="s">
        <v>175</v>
      </c>
      <c r="F543" s="73"/>
    </row>
    <row r="544" spans="1:22" ht="12" customHeight="1" x14ac:dyDescent="0.2">
      <c r="A544" s="403" t="s">
        <v>1010</v>
      </c>
      <c r="C544" s="55" t="s">
        <v>1175</v>
      </c>
      <c r="D544" s="55" t="s">
        <v>2186</v>
      </c>
      <c r="E544" s="55" t="s">
        <v>2730</v>
      </c>
      <c r="F544" s="404">
        <f>VLOOKUP(C544,'Functional Assignment'!$C$1:$AU$746,19,)</f>
        <v>0</v>
      </c>
      <c r="G544" s="404">
        <f t="shared" ref="G544:R548" si="219">IF(VLOOKUP($E544,$D$5:$AH$1305,3,)=0,0,(VLOOKUP($E544,$D$5:$AH$1305,G$1,)/VLOOKUP($E544,$D$5:$AH$1305,3,))*$F544)</f>
        <v>0</v>
      </c>
      <c r="H544" s="404">
        <f t="shared" si="219"/>
        <v>0</v>
      </c>
      <c r="I544" s="404">
        <f t="shared" si="219"/>
        <v>0</v>
      </c>
      <c r="J544" s="404">
        <f t="shared" si="219"/>
        <v>0</v>
      </c>
      <c r="K544" s="404">
        <f t="shared" si="219"/>
        <v>0</v>
      </c>
      <c r="L544" s="404">
        <f t="shared" si="219"/>
        <v>0</v>
      </c>
      <c r="M544" s="404">
        <f t="shared" si="219"/>
        <v>0</v>
      </c>
      <c r="N544" s="404">
        <f t="shared" si="219"/>
        <v>0</v>
      </c>
      <c r="O544" s="404">
        <f t="shared" si="219"/>
        <v>0</v>
      </c>
      <c r="P544" s="404">
        <f t="shared" si="219"/>
        <v>0</v>
      </c>
      <c r="Q544" s="404">
        <f t="shared" si="219"/>
        <v>0</v>
      </c>
      <c r="R544" s="404">
        <f t="shared" si="219"/>
        <v>0</v>
      </c>
      <c r="S544" s="404"/>
      <c r="T544" s="62">
        <f t="shared" ref="T544:T549" si="220">SUM(G544:R544)</f>
        <v>0</v>
      </c>
      <c r="U544" s="61" t="str">
        <f t="shared" ref="U544:U549" si="221">IF(ABS(F544-T544)&lt;0.01,"ok","err")</f>
        <v>ok</v>
      </c>
      <c r="V544" s="62" t="str">
        <f t="shared" ref="V544:V549" si="222">IF(U544="err",T544-F544,"")</f>
        <v/>
      </c>
    </row>
    <row r="545" spans="1:22" ht="12" customHeight="1" x14ac:dyDescent="0.2">
      <c r="A545" s="403" t="s">
        <v>1011</v>
      </c>
      <c r="C545" s="55" t="s">
        <v>1175</v>
      </c>
      <c r="D545" s="55" t="s">
        <v>2187</v>
      </c>
      <c r="E545" s="55" t="s">
        <v>2730</v>
      </c>
      <c r="F545" s="73">
        <f>VLOOKUP(C545,'Functional Assignment'!$C$1:$AU$746,20,)</f>
        <v>0</v>
      </c>
      <c r="G545" s="73">
        <f t="shared" si="219"/>
        <v>0</v>
      </c>
      <c r="H545" s="73">
        <f t="shared" si="219"/>
        <v>0</v>
      </c>
      <c r="I545" s="73">
        <f t="shared" si="219"/>
        <v>0</v>
      </c>
      <c r="J545" s="73">
        <f t="shared" si="219"/>
        <v>0</v>
      </c>
      <c r="K545" s="73">
        <f t="shared" si="219"/>
        <v>0</v>
      </c>
      <c r="L545" s="73">
        <f t="shared" si="219"/>
        <v>0</v>
      </c>
      <c r="M545" s="73">
        <f t="shared" si="219"/>
        <v>0</v>
      </c>
      <c r="N545" s="73">
        <f t="shared" si="219"/>
        <v>0</v>
      </c>
      <c r="O545" s="73">
        <f t="shared" si="219"/>
        <v>0</v>
      </c>
      <c r="P545" s="73">
        <f t="shared" si="219"/>
        <v>0</v>
      </c>
      <c r="Q545" s="73">
        <f t="shared" si="219"/>
        <v>0</v>
      </c>
      <c r="R545" s="73">
        <f t="shared" si="219"/>
        <v>0</v>
      </c>
      <c r="S545" s="73"/>
      <c r="T545" s="73">
        <f t="shared" si="220"/>
        <v>0</v>
      </c>
      <c r="U545" s="61" t="str">
        <f t="shared" si="221"/>
        <v>ok</v>
      </c>
      <c r="V545" s="62" t="str">
        <f t="shared" si="222"/>
        <v/>
      </c>
    </row>
    <row r="546" spans="1:22" ht="12" customHeight="1" x14ac:dyDescent="0.2">
      <c r="A546" s="403" t="s">
        <v>1012</v>
      </c>
      <c r="C546" s="55" t="s">
        <v>1175</v>
      </c>
      <c r="D546" s="55" t="s">
        <v>2188</v>
      </c>
      <c r="E546" s="55" t="s">
        <v>1180</v>
      </c>
      <c r="F546" s="73">
        <f>VLOOKUP(C546,'Functional Assignment'!$C$1:$AU$746,21,)</f>
        <v>0</v>
      </c>
      <c r="G546" s="73">
        <f t="shared" si="219"/>
        <v>0</v>
      </c>
      <c r="H546" s="73">
        <f t="shared" si="219"/>
        <v>0</v>
      </c>
      <c r="I546" s="73">
        <f t="shared" si="219"/>
        <v>0</v>
      </c>
      <c r="J546" s="73">
        <f t="shared" si="219"/>
        <v>0</v>
      </c>
      <c r="K546" s="73">
        <f t="shared" si="219"/>
        <v>0</v>
      </c>
      <c r="L546" s="73">
        <f t="shared" si="219"/>
        <v>0</v>
      </c>
      <c r="M546" s="73">
        <f t="shared" si="219"/>
        <v>0</v>
      </c>
      <c r="N546" s="73">
        <f t="shared" si="219"/>
        <v>0</v>
      </c>
      <c r="O546" s="73">
        <f t="shared" si="219"/>
        <v>0</v>
      </c>
      <c r="P546" s="73">
        <f t="shared" si="219"/>
        <v>0</v>
      </c>
      <c r="Q546" s="73">
        <f t="shared" si="219"/>
        <v>0</v>
      </c>
      <c r="R546" s="73">
        <f t="shared" si="219"/>
        <v>0</v>
      </c>
      <c r="S546" s="73"/>
      <c r="T546" s="73">
        <f t="shared" si="220"/>
        <v>0</v>
      </c>
      <c r="U546" s="61" t="str">
        <f t="shared" si="221"/>
        <v>ok</v>
      </c>
      <c r="V546" s="62" t="str">
        <f t="shared" si="222"/>
        <v/>
      </c>
    </row>
    <row r="547" spans="1:22" ht="12" customHeight="1" x14ac:dyDescent="0.2">
      <c r="A547" s="403" t="s">
        <v>1013</v>
      </c>
      <c r="C547" s="55" t="s">
        <v>1175</v>
      </c>
      <c r="D547" s="55" t="s">
        <v>2189</v>
      </c>
      <c r="E547" s="55" t="s">
        <v>909</v>
      </c>
      <c r="F547" s="73">
        <f>VLOOKUP(C547,'Functional Assignment'!$C$1:$AU$746,22,)</f>
        <v>0</v>
      </c>
      <c r="G547" s="73">
        <f t="shared" si="219"/>
        <v>0</v>
      </c>
      <c r="H547" s="73">
        <f t="shared" si="219"/>
        <v>0</v>
      </c>
      <c r="I547" s="73">
        <f t="shared" si="219"/>
        <v>0</v>
      </c>
      <c r="J547" s="73">
        <f t="shared" si="219"/>
        <v>0</v>
      </c>
      <c r="K547" s="73">
        <f t="shared" si="219"/>
        <v>0</v>
      </c>
      <c r="L547" s="73">
        <f t="shared" si="219"/>
        <v>0</v>
      </c>
      <c r="M547" s="73">
        <f t="shared" si="219"/>
        <v>0</v>
      </c>
      <c r="N547" s="73">
        <f t="shared" si="219"/>
        <v>0</v>
      </c>
      <c r="O547" s="73">
        <f t="shared" si="219"/>
        <v>0</v>
      </c>
      <c r="P547" s="73">
        <f t="shared" si="219"/>
        <v>0</v>
      </c>
      <c r="Q547" s="73">
        <f t="shared" si="219"/>
        <v>0</v>
      </c>
      <c r="R547" s="73">
        <f t="shared" si="219"/>
        <v>0</v>
      </c>
      <c r="S547" s="73"/>
      <c r="T547" s="73">
        <f t="shared" si="220"/>
        <v>0</v>
      </c>
      <c r="U547" s="61" t="str">
        <f t="shared" si="221"/>
        <v>ok</v>
      </c>
      <c r="V547" s="62" t="str">
        <f t="shared" si="222"/>
        <v/>
      </c>
    </row>
    <row r="548" spans="1:22" ht="12" customHeight="1" x14ac:dyDescent="0.2">
      <c r="A548" s="403" t="s">
        <v>1014</v>
      </c>
      <c r="C548" s="55" t="s">
        <v>1175</v>
      </c>
      <c r="D548" s="55" t="s">
        <v>2190</v>
      </c>
      <c r="E548" s="55" t="s">
        <v>1179</v>
      </c>
      <c r="F548" s="73">
        <f>VLOOKUP(C548,'Functional Assignment'!$C$1:$AU$746,23,)</f>
        <v>0</v>
      </c>
      <c r="G548" s="73">
        <f t="shared" si="219"/>
        <v>0</v>
      </c>
      <c r="H548" s="73">
        <f t="shared" si="219"/>
        <v>0</v>
      </c>
      <c r="I548" s="73">
        <f t="shared" si="219"/>
        <v>0</v>
      </c>
      <c r="J548" s="73">
        <f t="shared" si="219"/>
        <v>0</v>
      </c>
      <c r="K548" s="73">
        <f t="shared" si="219"/>
        <v>0</v>
      </c>
      <c r="L548" s="73">
        <f t="shared" si="219"/>
        <v>0</v>
      </c>
      <c r="M548" s="73">
        <f t="shared" si="219"/>
        <v>0</v>
      </c>
      <c r="N548" s="73">
        <f t="shared" si="219"/>
        <v>0</v>
      </c>
      <c r="O548" s="73">
        <f t="shared" si="219"/>
        <v>0</v>
      </c>
      <c r="P548" s="73">
        <f t="shared" si="219"/>
        <v>0</v>
      </c>
      <c r="Q548" s="73">
        <f t="shared" si="219"/>
        <v>0</v>
      </c>
      <c r="R548" s="73">
        <f t="shared" si="219"/>
        <v>0</v>
      </c>
      <c r="S548" s="73"/>
      <c r="T548" s="73">
        <f t="shared" si="220"/>
        <v>0</v>
      </c>
      <c r="U548" s="61" t="str">
        <f t="shared" si="221"/>
        <v>ok</v>
      </c>
      <c r="V548" s="62" t="str">
        <f t="shared" si="222"/>
        <v/>
      </c>
    </row>
    <row r="549" spans="1:22" ht="12" customHeight="1" x14ac:dyDescent="0.2">
      <c r="A549" s="55" t="s">
        <v>180</v>
      </c>
      <c r="D549" s="55" t="s">
        <v>2191</v>
      </c>
      <c r="F549" s="404">
        <f t="shared" ref="F549:R549" si="223">SUM(F544:F548)</f>
        <v>0</v>
      </c>
      <c r="G549" s="404">
        <f t="shared" si="223"/>
        <v>0</v>
      </c>
      <c r="H549" s="404">
        <f t="shared" si="223"/>
        <v>0</v>
      </c>
      <c r="I549" s="404">
        <f>SUM(I544:I548)</f>
        <v>0</v>
      </c>
      <c r="J549" s="404">
        <f t="shared" si="223"/>
        <v>0</v>
      </c>
      <c r="K549" s="404">
        <f t="shared" si="223"/>
        <v>0</v>
      </c>
      <c r="L549" s="404">
        <f t="shared" si="223"/>
        <v>0</v>
      </c>
      <c r="M549" s="404">
        <f t="shared" si="223"/>
        <v>0</v>
      </c>
      <c r="N549" s="404">
        <f>SUM(N544:N548)</f>
        <v>0</v>
      </c>
      <c r="O549" s="404">
        <f t="shared" si="223"/>
        <v>0</v>
      </c>
      <c r="P549" s="404">
        <f t="shared" si="223"/>
        <v>0</v>
      </c>
      <c r="Q549" s="404">
        <f t="shared" si="223"/>
        <v>0</v>
      </c>
      <c r="R549" s="404">
        <f t="shared" si="223"/>
        <v>0</v>
      </c>
      <c r="S549" s="404"/>
      <c r="T549" s="62">
        <f t="shared" si="220"/>
        <v>0</v>
      </c>
      <c r="U549" s="61" t="str">
        <f t="shared" si="221"/>
        <v>ok</v>
      </c>
      <c r="V549" s="62" t="str">
        <f t="shared" si="222"/>
        <v/>
      </c>
    </row>
    <row r="550" spans="1:22" ht="12" customHeight="1" x14ac:dyDescent="0.2">
      <c r="F550" s="73"/>
    </row>
    <row r="551" spans="1:22" ht="12" customHeight="1" x14ac:dyDescent="0.2">
      <c r="A551" s="171" t="s">
        <v>1009</v>
      </c>
      <c r="F551" s="73"/>
    </row>
    <row r="552" spans="1:22" ht="12" customHeight="1" x14ac:dyDescent="0.2">
      <c r="A552" s="403" t="s">
        <v>501</v>
      </c>
      <c r="C552" s="55" t="s">
        <v>1175</v>
      </c>
      <c r="D552" s="55" t="s">
        <v>2192</v>
      </c>
      <c r="E552" s="55" t="s">
        <v>909</v>
      </c>
      <c r="F552" s="404">
        <f>VLOOKUP(C552,'Functional Assignment'!$C$1:$AU$746,24,)</f>
        <v>0</v>
      </c>
      <c r="G552" s="404">
        <f t="shared" ref="G552:R553" si="224">IF(VLOOKUP($E552,$D$5:$AH$1305,3,)=0,0,(VLOOKUP($E552,$D$5:$AH$1305,G$1,)/VLOOKUP($E552,$D$5:$AH$1305,3,))*$F552)</f>
        <v>0</v>
      </c>
      <c r="H552" s="404">
        <f t="shared" si="224"/>
        <v>0</v>
      </c>
      <c r="I552" s="404">
        <f t="shared" si="224"/>
        <v>0</v>
      </c>
      <c r="J552" s="404">
        <f t="shared" si="224"/>
        <v>0</v>
      </c>
      <c r="K552" s="404">
        <f t="shared" si="224"/>
        <v>0</v>
      </c>
      <c r="L552" s="404">
        <f t="shared" si="224"/>
        <v>0</v>
      </c>
      <c r="M552" s="404">
        <f t="shared" si="224"/>
        <v>0</v>
      </c>
      <c r="N552" s="404">
        <f t="shared" si="224"/>
        <v>0</v>
      </c>
      <c r="O552" s="404">
        <f t="shared" si="224"/>
        <v>0</v>
      </c>
      <c r="P552" s="404">
        <f t="shared" si="224"/>
        <v>0</v>
      </c>
      <c r="Q552" s="404">
        <f t="shared" si="224"/>
        <v>0</v>
      </c>
      <c r="R552" s="404">
        <f t="shared" si="224"/>
        <v>0</v>
      </c>
      <c r="S552" s="404"/>
      <c r="T552" s="62">
        <f>SUM(G552:R552)</f>
        <v>0</v>
      </c>
      <c r="U552" s="61" t="str">
        <f>IF(ABS(F552-T552)&lt;0.01,"ok","err")</f>
        <v>ok</v>
      </c>
      <c r="V552" s="62" t="str">
        <f>IF(U552="err",T552-F552,"")</f>
        <v/>
      </c>
    </row>
    <row r="553" spans="1:22" ht="12" customHeight="1" x14ac:dyDescent="0.2">
      <c r="A553" s="403" t="s">
        <v>504</v>
      </c>
      <c r="C553" s="55" t="s">
        <v>1175</v>
      </c>
      <c r="D553" s="55" t="s">
        <v>2193</v>
      </c>
      <c r="E553" s="55" t="s">
        <v>1179</v>
      </c>
      <c r="F553" s="73">
        <f>VLOOKUP(C553,'Functional Assignment'!$C$1:$AU$746,25,)</f>
        <v>0</v>
      </c>
      <c r="G553" s="73">
        <f t="shared" si="224"/>
        <v>0</v>
      </c>
      <c r="H553" s="73">
        <f t="shared" si="224"/>
        <v>0</v>
      </c>
      <c r="I553" s="73">
        <f t="shared" si="224"/>
        <v>0</v>
      </c>
      <c r="J553" s="73">
        <f t="shared" si="224"/>
        <v>0</v>
      </c>
      <c r="K553" s="73">
        <f t="shared" si="224"/>
        <v>0</v>
      </c>
      <c r="L553" s="73">
        <f t="shared" si="224"/>
        <v>0</v>
      </c>
      <c r="M553" s="73">
        <f t="shared" si="224"/>
        <v>0</v>
      </c>
      <c r="N553" s="73">
        <f t="shared" si="224"/>
        <v>0</v>
      </c>
      <c r="O553" s="73">
        <f t="shared" si="224"/>
        <v>0</v>
      </c>
      <c r="P553" s="73">
        <f t="shared" si="224"/>
        <v>0</v>
      </c>
      <c r="Q553" s="73">
        <f t="shared" si="224"/>
        <v>0</v>
      </c>
      <c r="R553" s="73">
        <f t="shared" si="224"/>
        <v>0</v>
      </c>
      <c r="S553" s="73"/>
      <c r="T553" s="73">
        <f>SUM(G553:R553)</f>
        <v>0</v>
      </c>
      <c r="U553" s="61" t="str">
        <f>IF(ABS(F553-T553)&lt;0.01,"ok","err")</f>
        <v>ok</v>
      </c>
      <c r="V553" s="62" t="str">
        <f>IF(U553="err",T553-F553,"")</f>
        <v/>
      </c>
    </row>
    <row r="554" spans="1:22" ht="12" customHeight="1" x14ac:dyDescent="0.2">
      <c r="A554" s="55" t="s">
        <v>1890</v>
      </c>
      <c r="D554" s="55" t="s">
        <v>2194</v>
      </c>
      <c r="F554" s="404">
        <f t="shared" ref="F554:R554" si="225">F552+F553</f>
        <v>0</v>
      </c>
      <c r="G554" s="404">
        <f t="shared" si="225"/>
        <v>0</v>
      </c>
      <c r="H554" s="404">
        <f t="shared" si="225"/>
        <v>0</v>
      </c>
      <c r="I554" s="404">
        <f>I552+I553</f>
        <v>0</v>
      </c>
      <c r="J554" s="404">
        <f t="shared" si="225"/>
        <v>0</v>
      </c>
      <c r="K554" s="404">
        <f t="shared" si="225"/>
        <v>0</v>
      </c>
      <c r="L554" s="404">
        <f t="shared" si="225"/>
        <v>0</v>
      </c>
      <c r="M554" s="404">
        <f t="shared" si="225"/>
        <v>0</v>
      </c>
      <c r="N554" s="404">
        <f>N552+N553</f>
        <v>0</v>
      </c>
      <c r="O554" s="404">
        <f t="shared" si="225"/>
        <v>0</v>
      </c>
      <c r="P554" s="404">
        <f t="shared" si="225"/>
        <v>0</v>
      </c>
      <c r="Q554" s="404">
        <f t="shared" si="225"/>
        <v>0</v>
      </c>
      <c r="R554" s="404">
        <f t="shared" si="225"/>
        <v>0</v>
      </c>
      <c r="S554" s="404"/>
      <c r="T554" s="62">
        <f>SUM(G554:R554)</f>
        <v>0</v>
      </c>
      <c r="U554" s="61" t="str">
        <f>IF(ABS(F554-T554)&lt;0.01,"ok","err")</f>
        <v>ok</v>
      </c>
      <c r="V554" s="62" t="str">
        <f>IF(U554="err",T554-F554,"")</f>
        <v/>
      </c>
    </row>
    <row r="555" spans="1:22" ht="12" customHeight="1" x14ac:dyDescent="0.2">
      <c r="F555" s="73"/>
    </row>
    <row r="556" spans="1:22" ht="12" customHeight="1" x14ac:dyDescent="0.2">
      <c r="A556" s="171" t="s">
        <v>148</v>
      </c>
      <c r="F556" s="73"/>
    </row>
    <row r="557" spans="1:22" ht="12" customHeight="1" x14ac:dyDescent="0.2">
      <c r="A557" s="403" t="s">
        <v>504</v>
      </c>
      <c r="C557" s="55" t="s">
        <v>1175</v>
      </c>
      <c r="D557" s="55" t="s">
        <v>2195</v>
      </c>
      <c r="E557" s="55" t="s">
        <v>505</v>
      </c>
      <c r="F557" s="404">
        <f>VLOOKUP(C557,'Functional Assignment'!$C$1:$AU$746,26,)</f>
        <v>0</v>
      </c>
      <c r="G557" s="404">
        <f t="shared" ref="G557:R557" si="226">IF(VLOOKUP($E557,$D$5:$AH$1305,3,)=0,0,(VLOOKUP($E557,$D$5:$AH$1305,G$1,)/VLOOKUP($E557,$D$5:$AH$1305,3,))*$F557)</f>
        <v>0</v>
      </c>
      <c r="H557" s="404">
        <f t="shared" si="226"/>
        <v>0</v>
      </c>
      <c r="I557" s="404">
        <f t="shared" si="226"/>
        <v>0</v>
      </c>
      <c r="J557" s="404">
        <f t="shared" si="226"/>
        <v>0</v>
      </c>
      <c r="K557" s="404">
        <f t="shared" si="226"/>
        <v>0</v>
      </c>
      <c r="L557" s="404">
        <f t="shared" si="226"/>
        <v>0</v>
      </c>
      <c r="M557" s="404">
        <f t="shared" si="226"/>
        <v>0</v>
      </c>
      <c r="N557" s="404">
        <f t="shared" si="226"/>
        <v>0</v>
      </c>
      <c r="O557" s="404">
        <f t="shared" si="226"/>
        <v>0</v>
      </c>
      <c r="P557" s="404">
        <f t="shared" si="226"/>
        <v>0</v>
      </c>
      <c r="Q557" s="404">
        <f t="shared" si="226"/>
        <v>0</v>
      </c>
      <c r="R557" s="404">
        <f t="shared" si="226"/>
        <v>0</v>
      </c>
      <c r="S557" s="404"/>
      <c r="T557" s="62">
        <f>SUM(G557:R557)</f>
        <v>0</v>
      </c>
      <c r="U557" s="61" t="str">
        <f>IF(ABS(F557-T557)&lt;0.01,"ok","err")</f>
        <v>ok</v>
      </c>
      <c r="V557" s="62" t="str">
        <f>IF(U557="err",T557-F557,"")</f>
        <v/>
      </c>
    </row>
    <row r="558" spans="1:22" ht="12" customHeight="1" x14ac:dyDescent="0.2">
      <c r="F558" s="73"/>
    </row>
    <row r="559" spans="1:22" ht="12" customHeight="1" x14ac:dyDescent="0.2">
      <c r="A559" s="171" t="s">
        <v>147</v>
      </c>
      <c r="F559" s="73"/>
    </row>
    <row r="560" spans="1:22" ht="12" customHeight="1" x14ac:dyDescent="0.2">
      <c r="A560" s="403" t="s">
        <v>504</v>
      </c>
      <c r="C560" s="55" t="s">
        <v>1175</v>
      </c>
      <c r="D560" s="55" t="s">
        <v>2196</v>
      </c>
      <c r="E560" s="55" t="s">
        <v>506</v>
      </c>
      <c r="F560" s="404">
        <f>VLOOKUP(C560,'Functional Assignment'!$C$1:$AU$746,27,)</f>
        <v>0</v>
      </c>
      <c r="G560" s="404">
        <f t="shared" ref="G560:R560" si="227">IF(VLOOKUP($E560,$D$5:$AH$1305,3,)=0,0,(VLOOKUP($E560,$D$5:$AH$1305,G$1,)/VLOOKUP($E560,$D$5:$AH$1305,3,))*$F560)</f>
        <v>0</v>
      </c>
      <c r="H560" s="404">
        <f t="shared" si="227"/>
        <v>0</v>
      </c>
      <c r="I560" s="404">
        <f t="shared" si="227"/>
        <v>0</v>
      </c>
      <c r="J560" s="404">
        <f t="shared" si="227"/>
        <v>0</v>
      </c>
      <c r="K560" s="404">
        <f t="shared" si="227"/>
        <v>0</v>
      </c>
      <c r="L560" s="404">
        <f t="shared" si="227"/>
        <v>0</v>
      </c>
      <c r="M560" s="404">
        <f t="shared" si="227"/>
        <v>0</v>
      </c>
      <c r="N560" s="404">
        <f t="shared" si="227"/>
        <v>0</v>
      </c>
      <c r="O560" s="404">
        <f t="shared" si="227"/>
        <v>0</v>
      </c>
      <c r="P560" s="404">
        <f t="shared" si="227"/>
        <v>0</v>
      </c>
      <c r="Q560" s="404">
        <f t="shared" si="227"/>
        <v>0</v>
      </c>
      <c r="R560" s="404">
        <f t="shared" si="227"/>
        <v>0</v>
      </c>
      <c r="S560" s="404"/>
      <c r="T560" s="62">
        <f>SUM(G560:R560)</f>
        <v>0</v>
      </c>
      <c r="U560" s="61" t="str">
        <f>IF(ABS(F560-T560)&lt;0.01,"ok","err")</f>
        <v>ok</v>
      </c>
      <c r="V560" s="62" t="str">
        <f>IF(U560="err",T560-F560,"")</f>
        <v/>
      </c>
    </row>
    <row r="561" spans="1:22" ht="12" customHeight="1" x14ac:dyDescent="0.2">
      <c r="F561" s="73"/>
    </row>
    <row r="562" spans="1:22" ht="12" customHeight="1" x14ac:dyDescent="0.2">
      <c r="A562" s="171" t="s">
        <v>173</v>
      </c>
      <c r="F562" s="73"/>
    </row>
    <row r="563" spans="1:22" ht="12" customHeight="1" x14ac:dyDescent="0.2">
      <c r="A563" s="403" t="s">
        <v>504</v>
      </c>
      <c r="C563" s="55" t="s">
        <v>1175</v>
      </c>
      <c r="D563" s="55" t="s">
        <v>2197</v>
      </c>
      <c r="E563" s="55" t="s">
        <v>507</v>
      </c>
      <c r="F563" s="404">
        <f>VLOOKUP(C563,'Functional Assignment'!$C$1:$AU$746,28,)</f>
        <v>0</v>
      </c>
      <c r="G563" s="404">
        <f t="shared" ref="G563:R563" si="228">IF(VLOOKUP($E563,$D$5:$AH$1305,3,)=0,0,(VLOOKUP($E563,$D$5:$AH$1305,G$1,)/VLOOKUP($E563,$D$5:$AH$1305,3,))*$F563)</f>
        <v>0</v>
      </c>
      <c r="H563" s="404">
        <f t="shared" si="228"/>
        <v>0</v>
      </c>
      <c r="I563" s="404">
        <f t="shared" si="228"/>
        <v>0</v>
      </c>
      <c r="J563" s="404">
        <f t="shared" si="228"/>
        <v>0</v>
      </c>
      <c r="K563" s="404">
        <f t="shared" si="228"/>
        <v>0</v>
      </c>
      <c r="L563" s="404">
        <f t="shared" si="228"/>
        <v>0</v>
      </c>
      <c r="M563" s="404">
        <f t="shared" si="228"/>
        <v>0</v>
      </c>
      <c r="N563" s="404">
        <f t="shared" si="228"/>
        <v>0</v>
      </c>
      <c r="O563" s="404">
        <f t="shared" si="228"/>
        <v>0</v>
      </c>
      <c r="P563" s="404">
        <f t="shared" si="228"/>
        <v>0</v>
      </c>
      <c r="Q563" s="404">
        <f t="shared" si="228"/>
        <v>0</v>
      </c>
      <c r="R563" s="404">
        <f t="shared" si="228"/>
        <v>0</v>
      </c>
      <c r="S563" s="404"/>
      <c r="T563" s="62">
        <f>SUM(G563:R563)</f>
        <v>0</v>
      </c>
      <c r="U563" s="61" t="str">
        <f>IF(ABS(F563-T563)&lt;0.01,"ok","err")</f>
        <v>ok</v>
      </c>
      <c r="V563" s="62" t="str">
        <f>IF(U563="err",T563-F563,"")</f>
        <v/>
      </c>
    </row>
    <row r="564" spans="1:22" ht="12" customHeight="1" x14ac:dyDescent="0.2">
      <c r="F564" s="73"/>
    </row>
    <row r="565" spans="1:22" ht="12" customHeight="1" x14ac:dyDescent="0.2">
      <c r="A565" s="171" t="s">
        <v>381</v>
      </c>
      <c r="F565" s="73"/>
    </row>
    <row r="566" spans="1:22" ht="12" customHeight="1" x14ac:dyDescent="0.2">
      <c r="A566" s="403" t="s">
        <v>504</v>
      </c>
      <c r="C566" s="55" t="s">
        <v>1175</v>
      </c>
      <c r="D566" s="55" t="s">
        <v>2198</v>
      </c>
      <c r="E566" s="55" t="s">
        <v>508</v>
      </c>
      <c r="F566" s="404">
        <f>VLOOKUP(C566,'Functional Assignment'!$C$1:$AU$746,30,)</f>
        <v>0</v>
      </c>
      <c r="G566" s="404">
        <f t="shared" ref="G566:R566" si="229">IF(VLOOKUP($E566,$D$5:$AH$1305,3,)=0,0,(VLOOKUP($E566,$D$5:$AH$1305,G$1,)/VLOOKUP($E566,$D$5:$AH$1305,3,))*$F566)</f>
        <v>0</v>
      </c>
      <c r="H566" s="404">
        <f t="shared" si="229"/>
        <v>0</v>
      </c>
      <c r="I566" s="404">
        <f t="shared" si="229"/>
        <v>0</v>
      </c>
      <c r="J566" s="404">
        <f t="shared" si="229"/>
        <v>0</v>
      </c>
      <c r="K566" s="404">
        <f t="shared" si="229"/>
        <v>0</v>
      </c>
      <c r="L566" s="404">
        <f t="shared" si="229"/>
        <v>0</v>
      </c>
      <c r="M566" s="404">
        <f t="shared" si="229"/>
        <v>0</v>
      </c>
      <c r="N566" s="404">
        <f t="shared" si="229"/>
        <v>0</v>
      </c>
      <c r="O566" s="404">
        <f t="shared" si="229"/>
        <v>0</v>
      </c>
      <c r="P566" s="404">
        <f t="shared" si="229"/>
        <v>0</v>
      </c>
      <c r="Q566" s="404">
        <f t="shared" si="229"/>
        <v>0</v>
      </c>
      <c r="R566" s="404">
        <f t="shared" si="229"/>
        <v>0</v>
      </c>
      <c r="S566" s="404"/>
      <c r="T566" s="62">
        <f>SUM(G566:R566)</f>
        <v>0</v>
      </c>
      <c r="U566" s="61" t="str">
        <f>IF(ABS(F566-T566)&lt;0.01,"ok","err")</f>
        <v>ok</v>
      </c>
      <c r="V566" s="62" t="str">
        <f>IF(U566="err",T566-F566,"")</f>
        <v/>
      </c>
    </row>
    <row r="567" spans="1:22" ht="12" customHeight="1" x14ac:dyDescent="0.2">
      <c r="F567" s="73"/>
    </row>
    <row r="568" spans="1:22" ht="12" customHeight="1" x14ac:dyDescent="0.2">
      <c r="A568" s="171" t="s">
        <v>2090</v>
      </c>
      <c r="F568" s="73"/>
    </row>
    <row r="569" spans="1:22" ht="12" customHeight="1" x14ac:dyDescent="0.2">
      <c r="A569" s="403" t="s">
        <v>504</v>
      </c>
      <c r="C569" s="55" t="s">
        <v>1175</v>
      </c>
      <c r="D569" s="55" t="s">
        <v>2199</v>
      </c>
      <c r="E569" s="55" t="s">
        <v>508</v>
      </c>
      <c r="F569" s="404">
        <f>VLOOKUP(C569,'Functional Assignment'!$C$1:$AU$746,32,)</f>
        <v>0</v>
      </c>
      <c r="G569" s="404">
        <f t="shared" ref="G569:R569" si="230">IF(VLOOKUP($E569,$D$5:$AH$1305,3,)=0,0,(VLOOKUP($E569,$D$5:$AH$1305,G$1,)/VLOOKUP($E569,$D$5:$AH$1305,3,))*$F569)</f>
        <v>0</v>
      </c>
      <c r="H569" s="404">
        <f t="shared" si="230"/>
        <v>0</v>
      </c>
      <c r="I569" s="404">
        <f t="shared" si="230"/>
        <v>0</v>
      </c>
      <c r="J569" s="404">
        <f t="shared" si="230"/>
        <v>0</v>
      </c>
      <c r="K569" s="404">
        <f t="shared" si="230"/>
        <v>0</v>
      </c>
      <c r="L569" s="404">
        <f t="shared" si="230"/>
        <v>0</v>
      </c>
      <c r="M569" s="404">
        <f t="shared" si="230"/>
        <v>0</v>
      </c>
      <c r="N569" s="404">
        <f t="shared" si="230"/>
        <v>0</v>
      </c>
      <c r="O569" s="404">
        <f t="shared" si="230"/>
        <v>0</v>
      </c>
      <c r="P569" s="404">
        <f t="shared" si="230"/>
        <v>0</v>
      </c>
      <c r="Q569" s="404">
        <f t="shared" si="230"/>
        <v>0</v>
      </c>
      <c r="R569" s="404">
        <f t="shared" si="230"/>
        <v>0</v>
      </c>
      <c r="S569" s="404"/>
      <c r="T569" s="62">
        <f>SUM(G569:R569)</f>
        <v>0</v>
      </c>
      <c r="U569" s="61" t="str">
        <f>IF(ABS(F569-T569)&lt;0.01,"ok","err")</f>
        <v>ok</v>
      </c>
      <c r="V569" s="62" t="str">
        <f>IF(U569="err",T569-F569,"")</f>
        <v/>
      </c>
    </row>
    <row r="570" spans="1:22" ht="12" customHeight="1" x14ac:dyDescent="0.2">
      <c r="F570" s="73"/>
    </row>
    <row r="571" spans="1:22" ht="12" customHeight="1" x14ac:dyDescent="0.2">
      <c r="A571" s="171" t="s">
        <v>2089</v>
      </c>
      <c r="F571" s="73"/>
    </row>
    <row r="572" spans="1:22" ht="12" customHeight="1" x14ac:dyDescent="0.2">
      <c r="A572" s="403" t="s">
        <v>504</v>
      </c>
      <c r="C572" s="55" t="s">
        <v>1175</v>
      </c>
      <c r="D572" s="55" t="s">
        <v>2200</v>
      </c>
      <c r="E572" s="55" t="s">
        <v>509</v>
      </c>
      <c r="F572" s="404">
        <f>VLOOKUP(C572,'Functional Assignment'!$C$1:$AU$746,34,)</f>
        <v>0</v>
      </c>
      <c r="G572" s="404">
        <f t="shared" ref="G572:R572" si="231">IF(VLOOKUP($E572,$D$5:$AH$1305,3,)=0,0,(VLOOKUP($E572,$D$5:$AH$1305,G$1,)/VLOOKUP($E572,$D$5:$AH$1305,3,))*$F572)</f>
        <v>0</v>
      </c>
      <c r="H572" s="404">
        <f t="shared" si="231"/>
        <v>0</v>
      </c>
      <c r="I572" s="404">
        <f t="shared" si="231"/>
        <v>0</v>
      </c>
      <c r="J572" s="404">
        <f t="shared" si="231"/>
        <v>0</v>
      </c>
      <c r="K572" s="404">
        <f t="shared" si="231"/>
        <v>0</v>
      </c>
      <c r="L572" s="404">
        <f t="shared" si="231"/>
        <v>0</v>
      </c>
      <c r="M572" s="404">
        <f t="shared" si="231"/>
        <v>0</v>
      </c>
      <c r="N572" s="404">
        <f t="shared" si="231"/>
        <v>0</v>
      </c>
      <c r="O572" s="404">
        <f t="shared" si="231"/>
        <v>0</v>
      </c>
      <c r="P572" s="404">
        <f t="shared" si="231"/>
        <v>0</v>
      </c>
      <c r="Q572" s="404">
        <f t="shared" si="231"/>
        <v>0</v>
      </c>
      <c r="R572" s="404">
        <f t="shared" si="231"/>
        <v>0</v>
      </c>
      <c r="S572" s="404"/>
      <c r="T572" s="62">
        <f>SUM(G572:R572)</f>
        <v>0</v>
      </c>
      <c r="U572" s="61" t="str">
        <f>IF(ABS(F572-T572)&lt;0.01,"ok","err")</f>
        <v>ok</v>
      </c>
      <c r="V572" s="62" t="str">
        <f>IF(U572="err",T572-F572,"")</f>
        <v/>
      </c>
    </row>
    <row r="573" spans="1:22" ht="12" customHeight="1" x14ac:dyDescent="0.2">
      <c r="F573" s="73"/>
    </row>
    <row r="574" spans="1:22" ht="12" customHeight="1" x14ac:dyDescent="0.2">
      <c r="A574" s="55" t="s">
        <v>82</v>
      </c>
      <c r="D574" s="55" t="s">
        <v>523</v>
      </c>
      <c r="F574" s="404">
        <f>F529+F535+F538+F541+F549+F554+F557+F560+F563+F566+F569+F572</f>
        <v>-767.27434829426568</v>
      </c>
      <c r="G574" s="404">
        <f t="shared" ref="G574:R574" si="232">G529+G535+G538+G541+G549+G554+G557+G560+G563+G566+G569+G572</f>
        <v>-256.57672655147002</v>
      </c>
      <c r="H574" s="404">
        <f t="shared" si="232"/>
        <v>-82.127591063473105</v>
      </c>
      <c r="I574" s="404">
        <f>I529+I535+I538+I541+I549+I554+I557+I560+I563+I566+I569+I572</f>
        <v>-6.7870078587355911</v>
      </c>
      <c r="J574" s="404">
        <f t="shared" si="232"/>
        <v>-132.20439199411376</v>
      </c>
      <c r="K574" s="404">
        <f t="shared" si="232"/>
        <v>-30.229106920975781</v>
      </c>
      <c r="L574" s="404">
        <f t="shared" si="232"/>
        <v>-19.570860630214327</v>
      </c>
      <c r="M574" s="404">
        <f>M529+M535+M538+M541+M549+M554+M557+M560+M563+M566+M569+M572</f>
        <v>-150.95841617602724</v>
      </c>
      <c r="N574" s="404">
        <f>N529+N535+N538+N541+N549+N554+N557+N560+N563+N566+N569+N572</f>
        <v>-62.99051401336083</v>
      </c>
      <c r="O574" s="404">
        <f t="shared" si="232"/>
        <v>-20.458560839243059</v>
      </c>
      <c r="P574" s="404">
        <f t="shared" si="232"/>
        <v>-5.3211200805189325</v>
      </c>
      <c r="Q574" s="404">
        <f t="shared" si="232"/>
        <v>-1.7287350083463654E-3</v>
      </c>
      <c r="R574" s="404">
        <f t="shared" si="232"/>
        <v>-4.8323431124692201E-2</v>
      </c>
      <c r="S574" s="404"/>
      <c r="T574" s="62">
        <f>SUM(G574:R574)</f>
        <v>-767.27434829426556</v>
      </c>
      <c r="U574" s="61" t="str">
        <f>IF(ABS(F574-T574)&lt;0.01,"ok","err")</f>
        <v>ok</v>
      </c>
      <c r="V574" s="62" t="str">
        <f>IF(U574="err",T574-F574,"")</f>
        <v/>
      </c>
    </row>
    <row r="575" spans="1:22" ht="12" customHeight="1" x14ac:dyDescent="0.2">
      <c r="F575" s="404"/>
      <c r="G575" s="404"/>
      <c r="H575" s="404"/>
      <c r="I575" s="404"/>
      <c r="J575" s="404"/>
      <c r="K575" s="404"/>
      <c r="L575" s="404"/>
      <c r="M575" s="404"/>
      <c r="N575" s="404"/>
      <c r="O575" s="404"/>
      <c r="P575" s="404"/>
      <c r="Q575" s="404"/>
      <c r="R575" s="404"/>
      <c r="S575" s="404"/>
      <c r="T575" s="62"/>
      <c r="U575" s="61"/>
    </row>
    <row r="576" spans="1:22" ht="12" customHeight="1" x14ac:dyDescent="0.2">
      <c r="F576" s="404"/>
      <c r="G576" s="404"/>
      <c r="H576" s="404"/>
      <c r="I576" s="404"/>
      <c r="J576" s="404"/>
      <c r="K576" s="404"/>
      <c r="L576" s="404"/>
      <c r="M576" s="404"/>
      <c r="N576" s="404"/>
      <c r="O576" s="404"/>
      <c r="P576" s="404"/>
      <c r="Q576" s="404"/>
      <c r="R576" s="404"/>
      <c r="S576" s="404"/>
      <c r="T576" s="62"/>
      <c r="U576" s="61"/>
    </row>
    <row r="577" spans="1:22" ht="12" customHeight="1" x14ac:dyDescent="0.2">
      <c r="F577" s="404"/>
      <c r="G577" s="404"/>
      <c r="H577" s="404"/>
      <c r="I577" s="404"/>
      <c r="J577" s="404"/>
      <c r="K577" s="404"/>
      <c r="L577" s="404"/>
      <c r="M577" s="404"/>
      <c r="N577" s="404"/>
      <c r="O577" s="404"/>
      <c r="P577" s="404"/>
      <c r="Q577" s="404"/>
      <c r="R577" s="404"/>
      <c r="S577" s="404"/>
      <c r="T577" s="62"/>
      <c r="U577" s="61"/>
    </row>
    <row r="578" spans="1:22" ht="12" customHeight="1" x14ac:dyDescent="0.2">
      <c r="F578" s="404"/>
      <c r="G578" s="404"/>
      <c r="H578" s="404"/>
      <c r="I578" s="404"/>
      <c r="J578" s="404"/>
      <c r="K578" s="404"/>
      <c r="L578" s="404"/>
      <c r="M578" s="404"/>
      <c r="N578" s="404"/>
      <c r="O578" s="404"/>
      <c r="P578" s="404"/>
      <c r="Q578" s="404"/>
      <c r="R578" s="404"/>
      <c r="S578" s="404"/>
      <c r="T578" s="62"/>
      <c r="U578" s="61"/>
    </row>
    <row r="579" spans="1:22" ht="12" customHeight="1" x14ac:dyDescent="0.2">
      <c r="F579" s="404"/>
      <c r="G579" s="404"/>
      <c r="H579" s="404"/>
      <c r="I579" s="404"/>
      <c r="J579" s="404"/>
      <c r="K579" s="404"/>
      <c r="L579" s="404"/>
      <c r="M579" s="404"/>
      <c r="N579" s="404"/>
      <c r="O579" s="404"/>
      <c r="P579" s="404"/>
      <c r="Q579" s="404"/>
      <c r="R579" s="404"/>
      <c r="S579" s="404"/>
      <c r="T579" s="62"/>
      <c r="U579" s="61"/>
    </row>
    <row r="580" spans="1:22" ht="12" customHeight="1" x14ac:dyDescent="0.2">
      <c r="F580" s="404"/>
      <c r="G580" s="404"/>
      <c r="H580" s="404"/>
      <c r="I580" s="404"/>
      <c r="J580" s="404"/>
      <c r="K580" s="404"/>
      <c r="L580" s="404"/>
      <c r="M580" s="404"/>
      <c r="N580" s="404"/>
      <c r="O580" s="404"/>
      <c r="P580" s="404"/>
      <c r="Q580" s="404"/>
      <c r="R580" s="404"/>
      <c r="S580" s="404"/>
      <c r="T580" s="62"/>
      <c r="U580" s="61"/>
    </row>
    <row r="581" spans="1:22" ht="12" customHeight="1" x14ac:dyDescent="0.2">
      <c r="F581" s="404"/>
      <c r="G581" s="404"/>
      <c r="H581" s="404"/>
      <c r="I581" s="404"/>
      <c r="J581" s="404"/>
      <c r="K581" s="404"/>
      <c r="L581" s="404"/>
      <c r="M581" s="404"/>
      <c r="N581" s="404"/>
      <c r="O581" s="404"/>
      <c r="P581" s="404"/>
      <c r="Q581" s="404"/>
      <c r="R581" s="404"/>
      <c r="S581" s="404"/>
      <c r="T581" s="62"/>
      <c r="U581" s="61"/>
    </row>
    <row r="582" spans="1:22" ht="12" customHeight="1" x14ac:dyDescent="0.2">
      <c r="A582" s="402" t="s">
        <v>1432</v>
      </c>
    </row>
    <row r="584" spans="1:22" ht="12" customHeight="1" x14ac:dyDescent="0.2">
      <c r="A584" s="171" t="s">
        <v>166</v>
      </c>
    </row>
    <row r="585" spans="1:22" ht="12" customHeight="1" x14ac:dyDescent="0.2">
      <c r="A585" s="403" t="s">
        <v>153</v>
      </c>
      <c r="C585" s="55" t="s">
        <v>488</v>
      </c>
      <c r="D585" s="55" t="s">
        <v>1433</v>
      </c>
      <c r="E585" s="55" t="s">
        <v>2831</v>
      </c>
      <c r="F585" s="404">
        <f>VLOOKUP(C585,'Functional Assignment'!$C$1:$AU$773,6,)</f>
        <v>13631895.126539925</v>
      </c>
      <c r="G585" s="404">
        <f t="shared" ref="G585:R590" si="233">IF(VLOOKUP($E585,$D$5:$AH$1237,3,)=0,0,(VLOOKUP($E585,$D$5:$AH$1237,G$1,)/VLOOKUP($E585,$D$5:$AH$1237,3,))*$F585)</f>
        <v>4554650.6443144223</v>
      </c>
      <c r="H585" s="404">
        <f t="shared" si="233"/>
        <v>1437398.8677507942</v>
      </c>
      <c r="I585" s="404">
        <f t="shared" si="233"/>
        <v>119708.29627459882</v>
      </c>
      <c r="J585" s="404">
        <f t="shared" si="233"/>
        <v>2339869.1809516475</v>
      </c>
      <c r="K585" s="404">
        <f t="shared" si="233"/>
        <v>498990.04034376977</v>
      </c>
      <c r="L585" s="404">
        <f t="shared" si="233"/>
        <v>378207.21595366212</v>
      </c>
      <c r="M585" s="404">
        <f t="shared" si="233"/>
        <v>2725757.687562841</v>
      </c>
      <c r="N585" s="404">
        <f t="shared" si="233"/>
        <v>1118359.3684386034</v>
      </c>
      <c r="O585" s="404">
        <f t="shared" si="233"/>
        <v>363480.0846161939</v>
      </c>
      <c r="P585" s="404">
        <f t="shared" si="233"/>
        <v>94538.47977882241</v>
      </c>
      <c r="Q585" s="404">
        <f t="shared" si="233"/>
        <v>30.742225603174138</v>
      </c>
      <c r="R585" s="404">
        <f t="shared" si="233"/>
        <v>904.51832896550832</v>
      </c>
      <c r="S585" s="404"/>
      <c r="T585" s="62">
        <f t="shared" ref="T585:T591" si="234">SUM(G585:R585)</f>
        <v>13631895.126539923</v>
      </c>
      <c r="U585" s="61" t="str">
        <f t="shared" ref="U585:U591" si="235">IF(ABS(F585-T585)&lt;0.01,"ok","err")</f>
        <v>ok</v>
      </c>
      <c r="V585" s="405" t="str">
        <f t="shared" ref="V585:V591" si="236">IF(U585="err",T585-F585,"")</f>
        <v/>
      </c>
    </row>
    <row r="586" spans="1:22" ht="12" customHeight="1" x14ac:dyDescent="0.2">
      <c r="A586" s="403" t="s">
        <v>157</v>
      </c>
      <c r="C586" s="55" t="s">
        <v>488</v>
      </c>
      <c r="D586" s="55" t="s">
        <v>1434</v>
      </c>
      <c r="E586" s="55" t="s">
        <v>59</v>
      </c>
      <c r="F586" s="73">
        <f>VLOOKUP(C586,'Functional Assignment'!$C$1:$AU$773,7,)</f>
        <v>12850484.207619848</v>
      </c>
      <c r="G586" s="73">
        <f t="shared" si="233"/>
        <v>5868781.5440790113</v>
      </c>
      <c r="H586" s="73">
        <f t="shared" si="233"/>
        <v>1620753.0870128626</v>
      </c>
      <c r="I586" s="73">
        <f t="shared" si="233"/>
        <v>109268.66122719209</v>
      </c>
      <c r="J586" s="73">
        <f t="shared" si="233"/>
        <v>1628482.64212594</v>
      </c>
      <c r="K586" s="73">
        <f t="shared" si="233"/>
        <v>361612.6343873064</v>
      </c>
      <c r="L586" s="73">
        <f t="shared" si="233"/>
        <v>242194.2811174205</v>
      </c>
      <c r="M586" s="73">
        <f t="shared" si="233"/>
        <v>1941930.8818713313</v>
      </c>
      <c r="N586" s="73">
        <f t="shared" si="233"/>
        <v>865204.16241373343</v>
      </c>
      <c r="O586" s="73">
        <f t="shared" si="233"/>
        <v>211758.1725655077</v>
      </c>
      <c r="P586" s="73">
        <f t="shared" si="233"/>
        <v>0</v>
      </c>
      <c r="Q586" s="73">
        <f t="shared" si="233"/>
        <v>0</v>
      </c>
      <c r="R586" s="73">
        <f t="shared" si="233"/>
        <v>498.14081954515876</v>
      </c>
      <c r="S586" s="73"/>
      <c r="T586" s="73">
        <f t="shared" si="234"/>
        <v>12850484.20761985</v>
      </c>
      <c r="U586" s="61" t="str">
        <f t="shared" si="235"/>
        <v>ok</v>
      </c>
      <c r="V586" s="62" t="str">
        <f t="shared" si="236"/>
        <v/>
      </c>
    </row>
    <row r="587" spans="1:22" ht="12" customHeight="1" x14ac:dyDescent="0.2">
      <c r="A587" s="403" t="s">
        <v>154</v>
      </c>
      <c r="C587" s="55" t="s">
        <v>488</v>
      </c>
      <c r="D587" s="55" t="s">
        <v>1435</v>
      </c>
      <c r="E587" s="55" t="s">
        <v>62</v>
      </c>
      <c r="F587" s="73">
        <f>VLOOKUP(C587,'Functional Assignment'!$C$1:$AU$773,8,)</f>
        <v>13197535.993243814</v>
      </c>
      <c r="G587" s="73">
        <f t="shared" si="233"/>
        <v>5254148.5305337524</v>
      </c>
      <c r="H587" s="73">
        <f t="shared" si="233"/>
        <v>1594714.345325805</v>
      </c>
      <c r="I587" s="73">
        <f t="shared" si="233"/>
        <v>91067.028240140018</v>
      </c>
      <c r="J587" s="73">
        <f t="shared" si="233"/>
        <v>2068565.6041274697</v>
      </c>
      <c r="K587" s="73">
        <f t="shared" si="233"/>
        <v>523763.86664150562</v>
      </c>
      <c r="L587" s="73">
        <f t="shared" si="233"/>
        <v>323673.83272335905</v>
      </c>
      <c r="M587" s="73">
        <f t="shared" si="233"/>
        <v>2153177.6613873546</v>
      </c>
      <c r="N587" s="73">
        <f t="shared" si="233"/>
        <v>906908.55208804901</v>
      </c>
      <c r="O587" s="73">
        <f t="shared" si="233"/>
        <v>281016.20104248257</v>
      </c>
      <c r="P587" s="73">
        <f t="shared" si="233"/>
        <v>0</v>
      </c>
      <c r="Q587" s="73">
        <f t="shared" si="233"/>
        <v>0</v>
      </c>
      <c r="R587" s="73">
        <f t="shared" si="233"/>
        <v>500.37113389904226</v>
      </c>
      <c r="S587" s="73"/>
      <c r="T587" s="73">
        <f t="shared" si="234"/>
        <v>13197535.993243815</v>
      </c>
      <c r="U587" s="61" t="str">
        <f t="shared" si="235"/>
        <v>ok</v>
      </c>
      <c r="V587" s="62" t="str">
        <f t="shared" si="236"/>
        <v/>
      </c>
    </row>
    <row r="588" spans="1:22" ht="12" customHeight="1" x14ac:dyDescent="0.2">
      <c r="A588" s="403" t="s">
        <v>155</v>
      </c>
      <c r="C588" s="55" t="s">
        <v>488</v>
      </c>
      <c r="D588" s="55" t="s">
        <v>1436</v>
      </c>
      <c r="E588" s="55" t="s">
        <v>502</v>
      </c>
      <c r="F588" s="73">
        <f>VLOOKUP(C588,'Functional Assignment'!$C$1:$AU$773,9,)</f>
        <v>0</v>
      </c>
      <c r="G588" s="73">
        <f t="shared" si="233"/>
        <v>0</v>
      </c>
      <c r="H588" s="73">
        <f t="shared" si="233"/>
        <v>0</v>
      </c>
      <c r="I588" s="73">
        <f t="shared" si="233"/>
        <v>0</v>
      </c>
      <c r="J588" s="73">
        <f t="shared" si="233"/>
        <v>0</v>
      </c>
      <c r="K588" s="73">
        <f t="shared" si="233"/>
        <v>0</v>
      </c>
      <c r="L588" s="73">
        <f t="shared" si="233"/>
        <v>0</v>
      </c>
      <c r="M588" s="73">
        <f t="shared" si="233"/>
        <v>0</v>
      </c>
      <c r="N588" s="73">
        <f t="shared" si="233"/>
        <v>0</v>
      </c>
      <c r="O588" s="73">
        <f t="shared" si="233"/>
        <v>0</v>
      </c>
      <c r="P588" s="73">
        <f t="shared" si="233"/>
        <v>0</v>
      </c>
      <c r="Q588" s="73">
        <f t="shared" si="233"/>
        <v>0</v>
      </c>
      <c r="R588" s="73">
        <f t="shared" si="233"/>
        <v>0</v>
      </c>
      <c r="S588" s="73"/>
      <c r="T588" s="73">
        <f t="shared" si="234"/>
        <v>0</v>
      </c>
      <c r="U588" s="61" t="str">
        <f t="shared" si="235"/>
        <v>ok</v>
      </c>
      <c r="V588" s="62" t="str">
        <f t="shared" si="236"/>
        <v/>
      </c>
    </row>
    <row r="589" spans="1:22" ht="12" customHeight="1" x14ac:dyDescent="0.2">
      <c r="A589" s="403" t="s">
        <v>158</v>
      </c>
      <c r="C589" s="55" t="s">
        <v>488</v>
      </c>
      <c r="D589" s="55" t="s">
        <v>1437</v>
      </c>
      <c r="E589" s="55" t="s">
        <v>502</v>
      </c>
      <c r="F589" s="73">
        <f>VLOOKUP(C589,'Functional Assignment'!$C$1:$AU$773,10,)</f>
        <v>0</v>
      </c>
      <c r="G589" s="73">
        <f t="shared" si="233"/>
        <v>0</v>
      </c>
      <c r="H589" s="73">
        <f t="shared" si="233"/>
        <v>0</v>
      </c>
      <c r="I589" s="73">
        <f t="shared" si="233"/>
        <v>0</v>
      </c>
      <c r="J589" s="73">
        <f t="shared" si="233"/>
        <v>0</v>
      </c>
      <c r="K589" s="73">
        <f t="shared" si="233"/>
        <v>0</v>
      </c>
      <c r="L589" s="73">
        <f t="shared" si="233"/>
        <v>0</v>
      </c>
      <c r="M589" s="73">
        <f t="shared" si="233"/>
        <v>0</v>
      </c>
      <c r="N589" s="73">
        <f t="shared" si="233"/>
        <v>0</v>
      </c>
      <c r="O589" s="73">
        <f t="shared" si="233"/>
        <v>0</v>
      </c>
      <c r="P589" s="73">
        <f t="shared" si="233"/>
        <v>0</v>
      </c>
      <c r="Q589" s="73">
        <f t="shared" si="233"/>
        <v>0</v>
      </c>
      <c r="R589" s="73">
        <f t="shared" si="233"/>
        <v>0</v>
      </c>
      <c r="S589" s="73"/>
      <c r="T589" s="73">
        <f t="shared" si="234"/>
        <v>0</v>
      </c>
      <c r="U589" s="61" t="str">
        <f t="shared" si="235"/>
        <v>ok</v>
      </c>
      <c r="V589" s="62" t="str">
        <f t="shared" si="236"/>
        <v/>
      </c>
    </row>
    <row r="590" spans="1:22" ht="12" customHeight="1" x14ac:dyDescent="0.2">
      <c r="A590" s="403" t="s">
        <v>156</v>
      </c>
      <c r="C590" s="55" t="s">
        <v>488</v>
      </c>
      <c r="D590" s="55" t="s">
        <v>1438</v>
      </c>
      <c r="E590" s="55" t="s">
        <v>502</v>
      </c>
      <c r="F590" s="73">
        <f>VLOOKUP(C590,'Functional Assignment'!$C$1:$AU$773,11,)</f>
        <v>0</v>
      </c>
      <c r="G590" s="73">
        <f t="shared" si="233"/>
        <v>0</v>
      </c>
      <c r="H590" s="73">
        <f t="shared" si="233"/>
        <v>0</v>
      </c>
      <c r="I590" s="73">
        <f t="shared" si="233"/>
        <v>0</v>
      </c>
      <c r="J590" s="73">
        <f t="shared" si="233"/>
        <v>0</v>
      </c>
      <c r="K590" s="73">
        <f t="shared" si="233"/>
        <v>0</v>
      </c>
      <c r="L590" s="73">
        <f t="shared" si="233"/>
        <v>0</v>
      </c>
      <c r="M590" s="73">
        <f t="shared" si="233"/>
        <v>0</v>
      </c>
      <c r="N590" s="73">
        <f t="shared" si="233"/>
        <v>0</v>
      </c>
      <c r="O590" s="73">
        <f t="shared" si="233"/>
        <v>0</v>
      </c>
      <c r="P590" s="73">
        <f t="shared" si="233"/>
        <v>0</v>
      </c>
      <c r="Q590" s="73">
        <f t="shared" si="233"/>
        <v>0</v>
      </c>
      <c r="R590" s="73">
        <f t="shared" si="233"/>
        <v>0</v>
      </c>
      <c r="S590" s="73"/>
      <c r="T590" s="73">
        <f t="shared" si="234"/>
        <v>0</v>
      </c>
      <c r="U590" s="61" t="str">
        <f t="shared" si="235"/>
        <v>ok</v>
      </c>
      <c r="V590" s="62" t="str">
        <f t="shared" si="236"/>
        <v/>
      </c>
    </row>
    <row r="591" spans="1:22" ht="12" customHeight="1" x14ac:dyDescent="0.2">
      <c r="A591" s="55" t="s">
        <v>189</v>
      </c>
      <c r="D591" s="55" t="s">
        <v>1439</v>
      </c>
      <c r="F591" s="404">
        <f t="shared" ref="F591:R591" si="237">SUM(F585:F590)</f>
        <v>39679915.32740359</v>
      </c>
      <c r="G591" s="404">
        <f t="shared" si="237"/>
        <v>15677580.718927186</v>
      </c>
      <c r="H591" s="404">
        <f t="shared" si="237"/>
        <v>4652866.3000894617</v>
      </c>
      <c r="I591" s="404">
        <f>SUM(I585:I590)</f>
        <v>320043.9857419309</v>
      </c>
      <c r="J591" s="404">
        <f t="shared" si="237"/>
        <v>6036917.4272050569</v>
      </c>
      <c r="K591" s="404">
        <f t="shared" si="237"/>
        <v>1384366.5413725819</v>
      </c>
      <c r="L591" s="404">
        <f t="shared" si="237"/>
        <v>944075.32979444158</v>
      </c>
      <c r="M591" s="404">
        <f t="shared" si="237"/>
        <v>6820866.2308215275</v>
      </c>
      <c r="N591" s="404">
        <f>SUM(N585:N590)</f>
        <v>2890472.0829403857</v>
      </c>
      <c r="O591" s="404">
        <f t="shared" si="237"/>
        <v>856254.45822418411</v>
      </c>
      <c r="P591" s="404">
        <f t="shared" si="237"/>
        <v>94538.47977882241</v>
      </c>
      <c r="Q591" s="404">
        <f t="shared" si="237"/>
        <v>30.742225603174138</v>
      </c>
      <c r="R591" s="404">
        <f t="shared" si="237"/>
        <v>1903.0302824097093</v>
      </c>
      <c r="S591" s="404"/>
      <c r="T591" s="62">
        <f t="shared" si="234"/>
        <v>39679915.327403583</v>
      </c>
      <c r="U591" s="61" t="str">
        <f t="shared" si="235"/>
        <v>ok</v>
      </c>
      <c r="V591" s="405" t="str">
        <f t="shared" si="236"/>
        <v/>
      </c>
    </row>
    <row r="592" spans="1:22" ht="12" customHeight="1" x14ac:dyDescent="0.2">
      <c r="F592" s="73"/>
      <c r="G592" s="73"/>
    </row>
    <row r="593" spans="1:22" ht="12" customHeight="1" x14ac:dyDescent="0.2">
      <c r="A593" s="171" t="s">
        <v>554</v>
      </c>
      <c r="F593" s="73"/>
      <c r="G593" s="73"/>
    </row>
    <row r="594" spans="1:22" ht="12" customHeight="1" x14ac:dyDescent="0.2">
      <c r="A594" s="403" t="s">
        <v>159</v>
      </c>
      <c r="C594" s="55" t="s">
        <v>488</v>
      </c>
      <c r="D594" s="55" t="s">
        <v>1440</v>
      </c>
      <c r="E594" s="55" t="s">
        <v>2831</v>
      </c>
      <c r="F594" s="404">
        <f>VLOOKUP(C594,'Functional Assignment'!$C$1:$AU$773,13,)</f>
        <v>2041592.5295890532</v>
      </c>
      <c r="G594" s="404">
        <f t="shared" ref="G594:R596" si="238">IF(VLOOKUP($E594,$D$5:$AH$1237,3,)=0,0,(VLOOKUP($E594,$D$5:$AH$1237,G$1,)/VLOOKUP($E594,$D$5:$AH$1237,3,))*$F594)</f>
        <v>682131.18161513598</v>
      </c>
      <c r="H594" s="404">
        <f t="shared" si="238"/>
        <v>215273.28102212641</v>
      </c>
      <c r="I594" s="404">
        <f t="shared" si="238"/>
        <v>17928.216226388107</v>
      </c>
      <c r="J594" s="404">
        <f t="shared" si="238"/>
        <v>350432.52575689839</v>
      </c>
      <c r="K594" s="404">
        <f t="shared" si="238"/>
        <v>74731.673714376491</v>
      </c>
      <c r="L594" s="404">
        <f t="shared" si="238"/>
        <v>56642.529858110625</v>
      </c>
      <c r="M594" s="404">
        <f t="shared" si="238"/>
        <v>408225.45073457586</v>
      </c>
      <c r="N594" s="404">
        <f t="shared" si="238"/>
        <v>167492.05527226787</v>
      </c>
      <c r="O594" s="404">
        <f t="shared" si="238"/>
        <v>54436.908332874926</v>
      </c>
      <c r="P594" s="404">
        <f t="shared" si="238"/>
        <v>14158.636952787323</v>
      </c>
      <c r="Q594" s="404">
        <f t="shared" si="238"/>
        <v>4.604135929140786</v>
      </c>
      <c r="R594" s="404">
        <f t="shared" si="238"/>
        <v>135.46596758194676</v>
      </c>
      <c r="S594" s="404"/>
      <c r="T594" s="62">
        <f>SUM(G594:R594)</f>
        <v>2041592.5295890535</v>
      </c>
      <c r="U594" s="61" t="str">
        <f>IF(ABS(F594-T594)&lt;0.01,"ok","err")</f>
        <v>ok</v>
      </c>
      <c r="V594" s="62" t="str">
        <f>IF(U594="err",T594-F594,"")</f>
        <v/>
      </c>
    </row>
    <row r="595" spans="1:22" ht="12" customHeight="1" x14ac:dyDescent="0.2">
      <c r="A595" s="403" t="s">
        <v>161</v>
      </c>
      <c r="C595" s="55" t="s">
        <v>488</v>
      </c>
      <c r="D595" s="55" t="s">
        <v>1441</v>
      </c>
      <c r="E595" s="55" t="s">
        <v>59</v>
      </c>
      <c r="F595" s="73">
        <f>VLOOKUP(C595,'Functional Assignment'!$C$1:$AU$773,14,)</f>
        <v>1924563.8494387332</v>
      </c>
      <c r="G595" s="73">
        <f t="shared" si="238"/>
        <v>878943.12910717248</v>
      </c>
      <c r="H595" s="73">
        <f t="shared" si="238"/>
        <v>242733.48379211989</v>
      </c>
      <c r="I595" s="73">
        <f t="shared" si="238"/>
        <v>16364.715280512546</v>
      </c>
      <c r="J595" s="73">
        <f t="shared" si="238"/>
        <v>243891.10727949417</v>
      </c>
      <c r="K595" s="73">
        <f t="shared" si="238"/>
        <v>54157.228038881665</v>
      </c>
      <c r="L595" s="73">
        <f t="shared" si="238"/>
        <v>36272.435376637332</v>
      </c>
      <c r="M595" s="73">
        <f t="shared" si="238"/>
        <v>290834.95321850403</v>
      </c>
      <c r="N595" s="73">
        <f t="shared" si="238"/>
        <v>129578.04752431232</v>
      </c>
      <c r="O595" s="73">
        <f t="shared" si="238"/>
        <v>31714.145331669919</v>
      </c>
      <c r="P595" s="73">
        <f t="shared" si="238"/>
        <v>0</v>
      </c>
      <c r="Q595" s="73">
        <f t="shared" si="238"/>
        <v>0</v>
      </c>
      <c r="R595" s="73">
        <f t="shared" si="238"/>
        <v>74.60448942911593</v>
      </c>
      <c r="S595" s="73"/>
      <c r="T595" s="73">
        <f>SUM(G595:R595)</f>
        <v>1924563.8494387334</v>
      </c>
      <c r="U595" s="61" t="str">
        <f>IF(ABS(F595-T595)&lt;0.01,"ok","err")</f>
        <v>ok</v>
      </c>
      <c r="V595" s="62" t="str">
        <f>IF(U595="err",T595-F595,"")</f>
        <v/>
      </c>
    </row>
    <row r="596" spans="1:22" ht="12" customHeight="1" x14ac:dyDescent="0.2">
      <c r="A596" s="403" t="s">
        <v>160</v>
      </c>
      <c r="C596" s="55" t="s">
        <v>488</v>
      </c>
      <c r="D596" s="55" t="s">
        <v>1442</v>
      </c>
      <c r="E596" s="55" t="s">
        <v>62</v>
      </c>
      <c r="F596" s="73">
        <f>VLOOKUP(C596,'Functional Assignment'!$C$1:$AU$773,15,)</f>
        <v>1976540.3594054934</v>
      </c>
      <c r="G596" s="73">
        <f t="shared" si="238"/>
        <v>786892.08578233223</v>
      </c>
      <c r="H596" s="73">
        <f t="shared" si="238"/>
        <v>238833.7691878975</v>
      </c>
      <c r="I596" s="73">
        <f t="shared" si="238"/>
        <v>13638.732019363491</v>
      </c>
      <c r="J596" s="73">
        <f t="shared" si="238"/>
        <v>309800.51160527393</v>
      </c>
      <c r="K596" s="73">
        <f t="shared" si="238"/>
        <v>78441.947174471119</v>
      </c>
      <c r="L596" s="73">
        <f t="shared" si="238"/>
        <v>48475.290689768895</v>
      </c>
      <c r="M596" s="73">
        <f t="shared" si="238"/>
        <v>322472.50932909944</v>
      </c>
      <c r="N596" s="73">
        <f t="shared" si="238"/>
        <v>135823.9414091903</v>
      </c>
      <c r="O596" s="73">
        <f t="shared" si="238"/>
        <v>42086.633693715252</v>
      </c>
      <c r="P596" s="73">
        <f t="shared" si="238"/>
        <v>0</v>
      </c>
      <c r="Q596" s="73">
        <f t="shared" si="238"/>
        <v>0</v>
      </c>
      <c r="R596" s="73">
        <f t="shared" si="238"/>
        <v>74.938514381718363</v>
      </c>
      <c r="S596" s="73"/>
      <c r="T596" s="73">
        <f>SUM(G596:R596)</f>
        <v>1976540.3594054941</v>
      </c>
      <c r="U596" s="61" t="str">
        <f>IF(ABS(F596-T596)&lt;0.01,"ok","err")</f>
        <v>ok</v>
      </c>
      <c r="V596" s="62" t="str">
        <f>IF(U596="err",T596-F596,"")</f>
        <v/>
      </c>
    </row>
    <row r="597" spans="1:22" ht="12" customHeight="1" x14ac:dyDescent="0.2">
      <c r="A597" s="55" t="s">
        <v>556</v>
      </c>
      <c r="D597" s="55" t="s">
        <v>1443</v>
      </c>
      <c r="F597" s="404">
        <f t="shared" ref="F597:R597" si="239">SUM(F594:F596)</f>
        <v>5942696.73843328</v>
      </c>
      <c r="G597" s="404">
        <f t="shared" si="239"/>
        <v>2347966.3965046406</v>
      </c>
      <c r="H597" s="404">
        <f t="shared" si="239"/>
        <v>696840.53400214389</v>
      </c>
      <c r="I597" s="404">
        <f>SUM(I594:I596)</f>
        <v>47931.66352626415</v>
      </c>
      <c r="J597" s="404">
        <f t="shared" si="239"/>
        <v>904124.14464166644</v>
      </c>
      <c r="K597" s="404">
        <f t="shared" si="239"/>
        <v>207330.8489277293</v>
      </c>
      <c r="L597" s="404">
        <f t="shared" si="239"/>
        <v>141390.25592451685</v>
      </c>
      <c r="M597" s="404">
        <f t="shared" si="239"/>
        <v>1021532.9132821793</v>
      </c>
      <c r="N597" s="404">
        <f>SUM(N594:N596)</f>
        <v>432894.04420577048</v>
      </c>
      <c r="O597" s="404">
        <f t="shared" si="239"/>
        <v>128237.6873582601</v>
      </c>
      <c r="P597" s="404">
        <f t="shared" si="239"/>
        <v>14158.636952787323</v>
      </c>
      <c r="Q597" s="404">
        <f t="shared" si="239"/>
        <v>4.604135929140786</v>
      </c>
      <c r="R597" s="404">
        <f t="shared" si="239"/>
        <v>285.00897139278106</v>
      </c>
      <c r="S597" s="404"/>
      <c r="T597" s="62">
        <f>SUM(G597:R597)</f>
        <v>5942696.738433281</v>
      </c>
      <c r="U597" s="61" t="str">
        <f>IF(ABS(F597-T597)&lt;0.01,"ok","err")</f>
        <v>ok</v>
      </c>
      <c r="V597" s="62" t="str">
        <f>IF(U597="err",T597-F597,"")</f>
        <v/>
      </c>
    </row>
    <row r="598" spans="1:22" ht="12" customHeight="1" x14ac:dyDescent="0.2">
      <c r="F598" s="73"/>
      <c r="G598" s="73"/>
    </row>
    <row r="599" spans="1:22" ht="12" customHeight="1" x14ac:dyDescent="0.2">
      <c r="A599" s="171" t="s">
        <v>2087</v>
      </c>
      <c r="F599" s="73"/>
      <c r="G599" s="73"/>
    </row>
    <row r="600" spans="1:22" ht="12" customHeight="1" x14ac:dyDescent="0.2">
      <c r="A600" s="403" t="s">
        <v>174</v>
      </c>
      <c r="C600" s="55" t="s">
        <v>488</v>
      </c>
      <c r="D600" s="55" t="s">
        <v>1444</v>
      </c>
      <c r="E600" s="55" t="s">
        <v>2730</v>
      </c>
      <c r="F600" s="404">
        <f>VLOOKUP(C600,'Functional Assignment'!$C$1:$AU$773,17,)</f>
        <v>0</v>
      </c>
      <c r="G600" s="404">
        <f t="shared" ref="G600:R600" si="240">IF(VLOOKUP($E600,$D$5:$AH$1237,3,)=0,0,(VLOOKUP($E600,$D$5:$AH$1237,G$1,)/VLOOKUP($E600,$D$5:$AH$1237,3,))*$F600)</f>
        <v>0</v>
      </c>
      <c r="H600" s="404">
        <f t="shared" si="240"/>
        <v>0</v>
      </c>
      <c r="I600" s="404">
        <f t="shared" si="240"/>
        <v>0</v>
      </c>
      <c r="J600" s="404">
        <f t="shared" si="240"/>
        <v>0</v>
      </c>
      <c r="K600" s="404">
        <f t="shared" si="240"/>
        <v>0</v>
      </c>
      <c r="L600" s="404">
        <f t="shared" si="240"/>
        <v>0</v>
      </c>
      <c r="M600" s="404">
        <f t="shared" si="240"/>
        <v>0</v>
      </c>
      <c r="N600" s="404">
        <f t="shared" si="240"/>
        <v>0</v>
      </c>
      <c r="O600" s="404">
        <f t="shared" si="240"/>
        <v>0</v>
      </c>
      <c r="P600" s="404">
        <f t="shared" si="240"/>
        <v>0</v>
      </c>
      <c r="Q600" s="404">
        <f t="shared" si="240"/>
        <v>0</v>
      </c>
      <c r="R600" s="404">
        <f t="shared" si="240"/>
        <v>0</v>
      </c>
      <c r="S600" s="404"/>
      <c r="T600" s="62">
        <f>SUM(G600:R600)</f>
        <v>0</v>
      </c>
      <c r="U600" s="61" t="str">
        <f>IF(ABS(F600-T600)&lt;0.01,"ok","err")</f>
        <v>ok</v>
      </c>
      <c r="V600" s="62" t="str">
        <f>IF(U600="err",T600-F600,"")</f>
        <v/>
      </c>
    </row>
    <row r="601" spans="1:22" ht="12" customHeight="1" x14ac:dyDescent="0.2">
      <c r="F601" s="73"/>
    </row>
    <row r="602" spans="1:22" ht="12" customHeight="1" x14ac:dyDescent="0.2">
      <c r="A602" s="171" t="s">
        <v>2088</v>
      </c>
      <c r="F602" s="73"/>
      <c r="G602" s="73"/>
    </row>
    <row r="603" spans="1:22" ht="12" customHeight="1" x14ac:dyDescent="0.2">
      <c r="A603" s="403" t="s">
        <v>176</v>
      </c>
      <c r="C603" s="55" t="s">
        <v>488</v>
      </c>
      <c r="D603" s="55" t="s">
        <v>1445</v>
      </c>
      <c r="E603" s="55" t="s">
        <v>2729</v>
      </c>
      <c r="F603" s="404">
        <f>VLOOKUP(C603,'Functional Assignment'!$C$1:$AU$773,18,)</f>
        <v>1549083.0458928074</v>
      </c>
      <c r="G603" s="404">
        <f t="shared" ref="G603:R603" si="241">IF(VLOOKUP($E603,$D$5:$AH$1237,3,)=0,0,(VLOOKUP($E603,$D$5:$AH$1237,G$1,)/VLOOKUP($E603,$D$5:$AH$1237,3,))*$F603)</f>
        <v>700716.37984787847</v>
      </c>
      <c r="H603" s="404">
        <f t="shared" si="241"/>
        <v>214826.48946656738</v>
      </c>
      <c r="I603" s="404">
        <f t="shared" si="241"/>
        <v>20230.709862264845</v>
      </c>
      <c r="J603" s="404">
        <f t="shared" si="241"/>
        <v>237222.31840776891</v>
      </c>
      <c r="K603" s="404">
        <f t="shared" si="241"/>
        <v>59160.272752781078</v>
      </c>
      <c r="L603" s="404">
        <f t="shared" si="241"/>
        <v>35088.450862706435</v>
      </c>
      <c r="M603" s="404">
        <f t="shared" si="241"/>
        <v>269838.76652400027</v>
      </c>
      <c r="N603" s="404">
        <f t="shared" si="241"/>
        <v>0</v>
      </c>
      <c r="O603" s="404">
        <f t="shared" si="241"/>
        <v>0</v>
      </c>
      <c r="P603" s="404">
        <f t="shared" si="241"/>
        <v>11936.606490991333</v>
      </c>
      <c r="Q603" s="404">
        <f t="shared" si="241"/>
        <v>3.8820734326813029</v>
      </c>
      <c r="R603" s="404">
        <f t="shared" si="241"/>
        <v>59.169604415965921</v>
      </c>
      <c r="S603" s="404"/>
      <c r="T603" s="62">
        <f>SUM(G603:R603)</f>
        <v>1549083.0458928074</v>
      </c>
      <c r="U603" s="61" t="str">
        <f>IF(ABS(F603-T603)&lt;0.01,"ok","err")</f>
        <v>ok</v>
      </c>
      <c r="V603" s="62" t="str">
        <f>IF(U603="err",T603-F603,"")</f>
        <v/>
      </c>
    </row>
    <row r="604" spans="1:22" ht="12" customHeight="1" x14ac:dyDescent="0.2">
      <c r="F604" s="73"/>
    </row>
    <row r="605" spans="1:22" ht="12" customHeight="1" x14ac:dyDescent="0.2">
      <c r="A605" s="171" t="s">
        <v>175</v>
      </c>
      <c r="F605" s="73"/>
    </row>
    <row r="606" spans="1:22" ht="12" customHeight="1" x14ac:dyDescent="0.2">
      <c r="A606" s="403" t="s">
        <v>1010</v>
      </c>
      <c r="C606" s="55" t="s">
        <v>488</v>
      </c>
      <c r="D606" s="55" t="s">
        <v>1446</v>
      </c>
      <c r="E606" s="55" t="s">
        <v>2730</v>
      </c>
      <c r="F606" s="404">
        <f>VLOOKUP(C606,'Functional Assignment'!$C$1:$AU$773,19,)</f>
        <v>0</v>
      </c>
      <c r="G606" s="404">
        <f t="shared" ref="G606:R610" si="242">IF(VLOOKUP($E606,$D$5:$AH$1237,3,)=0,0,(VLOOKUP($E606,$D$5:$AH$1237,G$1,)/VLOOKUP($E606,$D$5:$AH$1237,3,))*$F606)</f>
        <v>0</v>
      </c>
      <c r="H606" s="404">
        <f t="shared" si="242"/>
        <v>0</v>
      </c>
      <c r="I606" s="404">
        <f t="shared" si="242"/>
        <v>0</v>
      </c>
      <c r="J606" s="404">
        <f t="shared" si="242"/>
        <v>0</v>
      </c>
      <c r="K606" s="404">
        <f t="shared" si="242"/>
        <v>0</v>
      </c>
      <c r="L606" s="404">
        <f t="shared" si="242"/>
        <v>0</v>
      </c>
      <c r="M606" s="404">
        <f t="shared" si="242"/>
        <v>0</v>
      </c>
      <c r="N606" s="404">
        <f t="shared" si="242"/>
        <v>0</v>
      </c>
      <c r="O606" s="404">
        <f t="shared" si="242"/>
        <v>0</v>
      </c>
      <c r="P606" s="404">
        <f t="shared" si="242"/>
        <v>0</v>
      </c>
      <c r="Q606" s="404">
        <f t="shared" si="242"/>
        <v>0</v>
      </c>
      <c r="R606" s="404">
        <f t="shared" si="242"/>
        <v>0</v>
      </c>
      <c r="S606" s="404"/>
      <c r="T606" s="62">
        <f t="shared" ref="T606:T611" si="243">SUM(G606:R606)</f>
        <v>0</v>
      </c>
      <c r="U606" s="61" t="str">
        <f t="shared" ref="U606:U611" si="244">IF(ABS(F606-T606)&lt;0.01,"ok","err")</f>
        <v>ok</v>
      </c>
      <c r="V606" s="62" t="str">
        <f t="shared" ref="V606:V611" si="245">IF(U606="err",T606-F606,"")</f>
        <v/>
      </c>
    </row>
    <row r="607" spans="1:22" ht="12" customHeight="1" x14ac:dyDescent="0.2">
      <c r="A607" s="403" t="s">
        <v>1011</v>
      </c>
      <c r="C607" s="55" t="s">
        <v>488</v>
      </c>
      <c r="D607" s="55" t="s">
        <v>1447</v>
      </c>
      <c r="E607" s="55" t="s">
        <v>2730</v>
      </c>
      <c r="F607" s="73">
        <f>VLOOKUP(C607,'Functional Assignment'!$C$1:$AU$773,20,)</f>
        <v>2508950.4003253183</v>
      </c>
      <c r="G607" s="73">
        <f t="shared" si="242"/>
        <v>1134905.3534574001</v>
      </c>
      <c r="H607" s="73">
        <f t="shared" si="242"/>
        <v>347940.67895629379</v>
      </c>
      <c r="I607" s="73">
        <f t="shared" si="242"/>
        <v>32766.38250116583</v>
      </c>
      <c r="J607" s="73">
        <f t="shared" si="242"/>
        <v>384213.76588770491</v>
      </c>
      <c r="K607" s="73">
        <f t="shared" si="242"/>
        <v>95818.097293097671</v>
      </c>
      <c r="L607" s="73">
        <f t="shared" si="242"/>
        <v>56830.51213567693</v>
      </c>
      <c r="M607" s="73">
        <f t="shared" si="242"/>
        <v>437040.53381043079</v>
      </c>
      <c r="N607" s="73">
        <f t="shared" si="242"/>
        <v>0</v>
      </c>
      <c r="O607" s="73">
        <f t="shared" si="242"/>
        <v>0</v>
      </c>
      <c r="P607" s="73">
        <f t="shared" si="242"/>
        <v>19332.955527144055</v>
      </c>
      <c r="Q607" s="73">
        <f t="shared" si="242"/>
        <v>6.2875452151143199</v>
      </c>
      <c r="R607" s="73">
        <f t="shared" si="242"/>
        <v>95.833211189118543</v>
      </c>
      <c r="S607" s="73"/>
      <c r="T607" s="73">
        <f t="shared" si="243"/>
        <v>2508950.4003253188</v>
      </c>
      <c r="U607" s="61" t="str">
        <f t="shared" si="244"/>
        <v>ok</v>
      </c>
      <c r="V607" s="62" t="str">
        <f t="shared" si="245"/>
        <v/>
      </c>
    </row>
    <row r="608" spans="1:22" ht="12" customHeight="1" x14ac:dyDescent="0.2">
      <c r="A608" s="403" t="s">
        <v>1012</v>
      </c>
      <c r="C608" s="55" t="s">
        <v>488</v>
      </c>
      <c r="D608" s="55" t="s">
        <v>1448</v>
      </c>
      <c r="E608" s="55" t="s">
        <v>1180</v>
      </c>
      <c r="F608" s="73">
        <f>VLOOKUP(C608,'Functional Assignment'!$C$1:$AU$773,21,)</f>
        <v>3591062.3674648758</v>
      </c>
      <c r="G608" s="73">
        <f t="shared" si="242"/>
        <v>2857548.5312053501</v>
      </c>
      <c r="H608" s="73">
        <f t="shared" si="242"/>
        <v>558133.85458958207</v>
      </c>
      <c r="I608" s="73">
        <f t="shared" si="242"/>
        <v>4350.754755515487</v>
      </c>
      <c r="J608" s="73">
        <f t="shared" si="242"/>
        <v>38293.439902841776</v>
      </c>
      <c r="K608" s="73">
        <f t="shared" si="242"/>
        <v>2019.0221287314057</v>
      </c>
      <c r="L608" s="73">
        <f t="shared" si="242"/>
        <v>931.33343985253396</v>
      </c>
      <c r="M608" s="73">
        <f t="shared" si="242"/>
        <v>1128.4770147118295</v>
      </c>
      <c r="N608" s="73">
        <f t="shared" si="242"/>
        <v>0</v>
      </c>
      <c r="O608" s="73">
        <f t="shared" si="242"/>
        <v>0</v>
      </c>
      <c r="P608" s="73">
        <f t="shared" si="242"/>
        <v>128139.54696170571</v>
      </c>
      <c r="Q608" s="73">
        <f t="shared" si="242"/>
        <v>8.3087330400469366</v>
      </c>
      <c r="R608" s="73">
        <f t="shared" si="242"/>
        <v>509.09873354469408</v>
      </c>
      <c r="S608" s="73"/>
      <c r="T608" s="73">
        <f t="shared" si="243"/>
        <v>3591062.3674648758</v>
      </c>
      <c r="U608" s="61" t="str">
        <f t="shared" si="244"/>
        <v>ok</v>
      </c>
      <c r="V608" s="62" t="str">
        <f t="shared" si="245"/>
        <v/>
      </c>
    </row>
    <row r="609" spans="1:22" ht="12" customHeight="1" x14ac:dyDescent="0.2">
      <c r="A609" s="403" t="s">
        <v>1013</v>
      </c>
      <c r="C609" s="55" t="s">
        <v>488</v>
      </c>
      <c r="D609" s="55" t="s">
        <v>1449</v>
      </c>
      <c r="E609" s="55" t="s">
        <v>909</v>
      </c>
      <c r="F609" s="73">
        <f>VLOOKUP(C609,'Functional Assignment'!$C$1:$AU$773,22,)</f>
        <v>442755.95299858548</v>
      </c>
      <c r="G609" s="73">
        <f t="shared" si="242"/>
        <v>303257.80906491069</v>
      </c>
      <c r="H609" s="73">
        <f t="shared" si="242"/>
        <v>70470.506059841602</v>
      </c>
      <c r="I609" s="73">
        <f t="shared" si="242"/>
        <v>4137.6807590278277</v>
      </c>
      <c r="J609" s="73">
        <f t="shared" si="242"/>
        <v>54409.297663465091</v>
      </c>
      <c r="K609" s="73">
        <f t="shared" si="242"/>
        <v>0</v>
      </c>
      <c r="L609" s="73">
        <f t="shared" si="242"/>
        <v>8224.8956641393524</v>
      </c>
      <c r="M609" s="73">
        <f t="shared" si="242"/>
        <v>0</v>
      </c>
      <c r="N609" s="73">
        <f t="shared" si="242"/>
        <v>0</v>
      </c>
      <c r="O609" s="73">
        <f t="shared" si="242"/>
        <v>0</v>
      </c>
      <c r="P609" s="73">
        <f t="shared" si="242"/>
        <v>2242.8260391216522</v>
      </c>
      <c r="Q609" s="73">
        <f t="shared" si="242"/>
        <v>0.72942132985376673</v>
      </c>
      <c r="R609" s="73">
        <f t="shared" si="242"/>
        <v>12.208326749388894</v>
      </c>
      <c r="S609" s="73"/>
      <c r="T609" s="73">
        <f t="shared" si="243"/>
        <v>442755.95299858548</v>
      </c>
      <c r="U609" s="61" t="str">
        <f t="shared" si="244"/>
        <v>ok</v>
      </c>
      <c r="V609" s="62" t="str">
        <f t="shared" si="245"/>
        <v/>
      </c>
    </row>
    <row r="610" spans="1:22" ht="12" customHeight="1" x14ac:dyDescent="0.2">
      <c r="A610" s="403" t="s">
        <v>1014</v>
      </c>
      <c r="C610" s="55" t="s">
        <v>488</v>
      </c>
      <c r="D610" s="55" t="s">
        <v>1450</v>
      </c>
      <c r="E610" s="55" t="s">
        <v>1179</v>
      </c>
      <c r="F610" s="73">
        <f>VLOOKUP(C610,'Functional Assignment'!$C$1:$AU$773,23,)</f>
        <v>633716.88837615459</v>
      </c>
      <c r="G610" s="73">
        <f t="shared" si="242"/>
        <v>504715.64405498403</v>
      </c>
      <c r="H610" s="73">
        <f t="shared" si="242"/>
        <v>98580.613701509938</v>
      </c>
      <c r="I610" s="73">
        <f t="shared" si="242"/>
        <v>768.4537863750744</v>
      </c>
      <c r="J610" s="73">
        <f t="shared" si="242"/>
        <v>6763.5940291418665</v>
      </c>
      <c r="K610" s="73">
        <f t="shared" si="242"/>
        <v>0</v>
      </c>
      <c r="L610" s="73">
        <f t="shared" si="242"/>
        <v>164.49713864591436</v>
      </c>
      <c r="M610" s="73">
        <f t="shared" si="242"/>
        <v>0</v>
      </c>
      <c r="N610" s="73">
        <f t="shared" si="242"/>
        <v>0</v>
      </c>
      <c r="O610" s="73">
        <f t="shared" si="242"/>
        <v>0</v>
      </c>
      <c r="P610" s="73">
        <f t="shared" si="242"/>
        <v>22632.698366249915</v>
      </c>
      <c r="Q610" s="73">
        <f t="shared" si="242"/>
        <v>1.4675332725912882</v>
      </c>
      <c r="R610" s="73">
        <f t="shared" si="242"/>
        <v>89.919765975138915</v>
      </c>
      <c r="S610" s="73"/>
      <c r="T610" s="73">
        <f t="shared" si="243"/>
        <v>633716.88837615447</v>
      </c>
      <c r="U610" s="61" t="str">
        <f t="shared" si="244"/>
        <v>ok</v>
      </c>
      <c r="V610" s="62" t="str">
        <f t="shared" si="245"/>
        <v/>
      </c>
    </row>
    <row r="611" spans="1:22" ht="12" customHeight="1" x14ac:dyDescent="0.2">
      <c r="A611" s="55" t="s">
        <v>180</v>
      </c>
      <c r="D611" s="55" t="s">
        <v>1451</v>
      </c>
      <c r="F611" s="404">
        <f t="shared" ref="F611:R611" si="246">SUM(F606:F610)</f>
        <v>7176485.6091649346</v>
      </c>
      <c r="G611" s="404">
        <f t="shared" si="246"/>
        <v>4800427.3377826447</v>
      </c>
      <c r="H611" s="404">
        <f t="shared" si="246"/>
        <v>1075125.6533072274</v>
      </c>
      <c r="I611" s="404">
        <f>SUM(I606:I610)</f>
        <v>42023.271802084215</v>
      </c>
      <c r="J611" s="404">
        <f t="shared" si="246"/>
        <v>483680.09748315363</v>
      </c>
      <c r="K611" s="404">
        <f t="shared" si="246"/>
        <v>97837.119421829077</v>
      </c>
      <c r="L611" s="404">
        <f t="shared" si="246"/>
        <v>66151.238378314723</v>
      </c>
      <c r="M611" s="404">
        <f t="shared" si="246"/>
        <v>438169.01082514261</v>
      </c>
      <c r="N611" s="404">
        <f>SUM(N606:N610)</f>
        <v>0</v>
      </c>
      <c r="O611" s="404">
        <f t="shared" si="246"/>
        <v>0</v>
      </c>
      <c r="P611" s="404">
        <f t="shared" si="246"/>
        <v>172348.02689422134</v>
      </c>
      <c r="Q611" s="404">
        <f t="shared" si="246"/>
        <v>16.793232857606309</v>
      </c>
      <c r="R611" s="404">
        <f t="shared" si="246"/>
        <v>707.0600374583405</v>
      </c>
      <c r="S611" s="404"/>
      <c r="T611" s="62">
        <f t="shared" si="243"/>
        <v>7176485.6091649327</v>
      </c>
      <c r="U611" s="61" t="str">
        <f t="shared" si="244"/>
        <v>ok</v>
      </c>
      <c r="V611" s="62" t="str">
        <f t="shared" si="245"/>
        <v/>
      </c>
    </row>
    <row r="612" spans="1:22" ht="12" customHeight="1" x14ac:dyDescent="0.2">
      <c r="F612" s="73"/>
    </row>
    <row r="613" spans="1:22" ht="12" customHeight="1" x14ac:dyDescent="0.2">
      <c r="A613" s="171" t="s">
        <v>1009</v>
      </c>
      <c r="F613" s="73"/>
    </row>
    <row r="614" spans="1:22" ht="12" customHeight="1" x14ac:dyDescent="0.2">
      <c r="A614" s="403" t="s">
        <v>501</v>
      </c>
      <c r="C614" s="55" t="s">
        <v>488</v>
      </c>
      <c r="D614" s="55" t="s">
        <v>1452</v>
      </c>
      <c r="E614" s="55" t="s">
        <v>909</v>
      </c>
      <c r="F614" s="404">
        <f>VLOOKUP(C614,'Functional Assignment'!$C$1:$AU$773,24,)</f>
        <v>1558385.1979344576</v>
      </c>
      <c r="G614" s="404">
        <f t="shared" ref="G614:R615" si="247">IF(VLOOKUP($E614,$D$5:$AH$1237,3,)=0,0,(VLOOKUP($E614,$D$5:$AH$1237,G$1,)/VLOOKUP($E614,$D$5:$AH$1237,3,))*$F614)</f>
        <v>1067388.2024716688</v>
      </c>
      <c r="H614" s="404">
        <f t="shared" si="247"/>
        <v>248037.75712295956</v>
      </c>
      <c r="I614" s="404">
        <f t="shared" si="247"/>
        <v>14563.554493117745</v>
      </c>
      <c r="J614" s="404">
        <f t="shared" si="247"/>
        <v>191506.50270087901</v>
      </c>
      <c r="K614" s="404">
        <f t="shared" si="247"/>
        <v>0</v>
      </c>
      <c r="L614" s="404">
        <f t="shared" si="247"/>
        <v>28949.482374528383</v>
      </c>
      <c r="M614" s="404">
        <f t="shared" si="247"/>
        <v>0</v>
      </c>
      <c r="N614" s="404">
        <f t="shared" si="247"/>
        <v>0</v>
      </c>
      <c r="O614" s="404">
        <f t="shared" si="247"/>
        <v>0</v>
      </c>
      <c r="P614" s="404">
        <f t="shared" si="247"/>
        <v>7894.1612805832065</v>
      </c>
      <c r="Q614" s="404">
        <f t="shared" si="247"/>
        <v>2.5673723770472017</v>
      </c>
      <c r="R614" s="404">
        <f t="shared" si="247"/>
        <v>42.970118343853699</v>
      </c>
      <c r="S614" s="404"/>
      <c r="T614" s="62">
        <f>SUM(G614:R614)</f>
        <v>1558385.1979344576</v>
      </c>
      <c r="U614" s="61" t="str">
        <f>IF(ABS(F614-T614)&lt;0.01,"ok","err")</f>
        <v>ok</v>
      </c>
      <c r="V614" s="62" t="str">
        <f>IF(U614="err",T614-F614,"")</f>
        <v/>
      </c>
    </row>
    <row r="615" spans="1:22" ht="12" customHeight="1" x14ac:dyDescent="0.2">
      <c r="A615" s="403" t="s">
        <v>504</v>
      </c>
      <c r="C615" s="55" t="s">
        <v>488</v>
      </c>
      <c r="D615" s="55" t="s">
        <v>1453</v>
      </c>
      <c r="E615" s="55" t="s">
        <v>1179</v>
      </c>
      <c r="F615" s="73">
        <f>VLOOKUP(C615,'Functional Assignment'!$C$1:$AU$773,25,)</f>
        <v>1333403.9984553319</v>
      </c>
      <c r="G615" s="73">
        <f t="shared" si="247"/>
        <v>1061972.4205083959</v>
      </c>
      <c r="H615" s="73">
        <f t="shared" si="247"/>
        <v>207423.51496517248</v>
      </c>
      <c r="I615" s="73">
        <f t="shared" si="247"/>
        <v>1616.903967963148</v>
      </c>
      <c r="J615" s="73">
        <f t="shared" si="247"/>
        <v>14231.281330525646</v>
      </c>
      <c r="K615" s="73">
        <f t="shared" si="247"/>
        <v>0</v>
      </c>
      <c r="L615" s="73">
        <f t="shared" si="247"/>
        <v>346.11850564211136</v>
      </c>
      <c r="M615" s="73">
        <f t="shared" si="247"/>
        <v>0</v>
      </c>
      <c r="N615" s="73">
        <f t="shared" si="247"/>
        <v>0</v>
      </c>
      <c r="O615" s="73">
        <f t="shared" si="247"/>
        <v>0</v>
      </c>
      <c r="P615" s="73">
        <f t="shared" si="247"/>
        <v>47621.471118942405</v>
      </c>
      <c r="Q615" s="73">
        <f t="shared" si="247"/>
        <v>3.0878374388185121</v>
      </c>
      <c r="R615" s="73">
        <f t="shared" si="247"/>
        <v>189.20022125124333</v>
      </c>
      <c r="S615" s="73"/>
      <c r="T615" s="73">
        <f>SUM(G615:R615)</f>
        <v>1333403.9984553314</v>
      </c>
      <c r="U615" s="61" t="str">
        <f>IF(ABS(F615-T615)&lt;0.01,"ok","err")</f>
        <v>ok</v>
      </c>
      <c r="V615" s="62" t="str">
        <f>IF(U615="err",T615-F615,"")</f>
        <v/>
      </c>
    </row>
    <row r="616" spans="1:22" ht="12" customHeight="1" x14ac:dyDescent="0.2">
      <c r="A616" s="55" t="s">
        <v>1890</v>
      </c>
      <c r="D616" s="55" t="s">
        <v>1454</v>
      </c>
      <c r="F616" s="404">
        <f t="shared" ref="F616:R616" si="248">F614+F615</f>
        <v>2891789.1963897897</v>
      </c>
      <c r="G616" s="404">
        <f t="shared" si="248"/>
        <v>2129360.6229800647</v>
      </c>
      <c r="H616" s="404">
        <f t="shared" si="248"/>
        <v>455461.27208813204</v>
      </c>
      <c r="I616" s="404">
        <f>I614+I615</f>
        <v>16180.458461080892</v>
      </c>
      <c r="J616" s="404">
        <f t="shared" si="248"/>
        <v>205737.78403140465</v>
      </c>
      <c r="K616" s="404">
        <f t="shared" si="248"/>
        <v>0</v>
      </c>
      <c r="L616" s="404">
        <f t="shared" si="248"/>
        <v>29295.600880170496</v>
      </c>
      <c r="M616" s="404">
        <f t="shared" si="248"/>
        <v>0</v>
      </c>
      <c r="N616" s="404">
        <f>N614+N615</f>
        <v>0</v>
      </c>
      <c r="O616" s="404">
        <f t="shared" si="248"/>
        <v>0</v>
      </c>
      <c r="P616" s="404">
        <f t="shared" si="248"/>
        <v>55515.63239952561</v>
      </c>
      <c r="Q616" s="404">
        <f t="shared" si="248"/>
        <v>5.6552098158657138</v>
      </c>
      <c r="R616" s="404">
        <f t="shared" si="248"/>
        <v>232.17033959509703</v>
      </c>
      <c r="S616" s="404"/>
      <c r="T616" s="62">
        <f>SUM(G616:R616)</f>
        <v>2891789.1963897892</v>
      </c>
      <c r="U616" s="61" t="str">
        <f>IF(ABS(F616-T616)&lt;0.01,"ok","err")</f>
        <v>ok</v>
      </c>
      <c r="V616" s="62" t="str">
        <f>IF(U616="err",T616-F616,"")</f>
        <v/>
      </c>
    </row>
    <row r="617" spans="1:22" ht="12" customHeight="1" x14ac:dyDescent="0.2">
      <c r="F617" s="73"/>
    </row>
    <row r="618" spans="1:22" ht="12" customHeight="1" x14ac:dyDescent="0.2">
      <c r="A618" s="171" t="s">
        <v>148</v>
      </c>
      <c r="F618" s="73"/>
    </row>
    <row r="619" spans="1:22" ht="12" customHeight="1" x14ac:dyDescent="0.2">
      <c r="A619" s="403" t="s">
        <v>504</v>
      </c>
      <c r="C619" s="55" t="s">
        <v>488</v>
      </c>
      <c r="D619" s="55" t="s">
        <v>1455</v>
      </c>
      <c r="E619" s="55" t="s">
        <v>505</v>
      </c>
      <c r="F619" s="404">
        <f>VLOOKUP(C619,'Functional Assignment'!$C$1:$AU$773,26,)</f>
        <v>893867.06991310045</v>
      </c>
      <c r="G619" s="404">
        <f t="shared" ref="G619:R619" si="249">IF(VLOOKUP($E619,$D$5:$AH$1237,3,)=0,0,(VLOOKUP($E619,$D$5:$AH$1237,G$1,)/VLOOKUP($E619,$D$5:$AH$1237,3,))*$F619)</f>
        <v>526469.94629139372</v>
      </c>
      <c r="H619" s="404">
        <f t="shared" si="249"/>
        <v>345517.08552016894</v>
      </c>
      <c r="I619" s="404">
        <f t="shared" si="249"/>
        <v>1649.2017231837285</v>
      </c>
      <c r="J619" s="404">
        <f t="shared" si="249"/>
        <v>18962.928990547687</v>
      </c>
      <c r="K619" s="404">
        <f t="shared" si="249"/>
        <v>0</v>
      </c>
      <c r="L619" s="404">
        <f t="shared" si="249"/>
        <v>351.38512609046785</v>
      </c>
      <c r="M619" s="404">
        <f t="shared" si="249"/>
        <v>0</v>
      </c>
      <c r="N619" s="404">
        <f t="shared" si="249"/>
        <v>0</v>
      </c>
      <c r="O619" s="404">
        <f t="shared" si="249"/>
        <v>0</v>
      </c>
      <c r="P619" s="404">
        <f t="shared" si="249"/>
        <v>0</v>
      </c>
      <c r="Q619" s="404">
        <f t="shared" si="249"/>
        <v>13.791716660566822</v>
      </c>
      <c r="R619" s="404">
        <f t="shared" si="249"/>
        <v>902.73054505528307</v>
      </c>
      <c r="S619" s="404"/>
      <c r="T619" s="62">
        <f>SUM(G619:R619)</f>
        <v>893867.06991310033</v>
      </c>
      <c r="U619" s="61" t="str">
        <f>IF(ABS(F619-T619)&lt;0.01,"ok","err")</f>
        <v>ok</v>
      </c>
      <c r="V619" s="62" t="str">
        <f>IF(U619="err",T619-F619,"")</f>
        <v/>
      </c>
    </row>
    <row r="620" spans="1:22" ht="12" customHeight="1" x14ac:dyDescent="0.2">
      <c r="F620" s="73"/>
    </row>
    <row r="621" spans="1:22" ht="12" customHeight="1" x14ac:dyDescent="0.2">
      <c r="A621" s="171" t="s">
        <v>147</v>
      </c>
      <c r="F621" s="73"/>
    </row>
    <row r="622" spans="1:22" ht="12" customHeight="1" x14ac:dyDescent="0.2">
      <c r="A622" s="403" t="s">
        <v>504</v>
      </c>
      <c r="C622" s="55" t="s">
        <v>488</v>
      </c>
      <c r="D622" s="55" t="s">
        <v>1456</v>
      </c>
      <c r="E622" s="55" t="s">
        <v>506</v>
      </c>
      <c r="F622" s="404">
        <f>VLOOKUP(C622,'Functional Assignment'!$C$1:$AU$773,27,)</f>
        <v>708362.84674054221</v>
      </c>
      <c r="G622" s="404">
        <f t="shared" ref="G622:R622" si="250">IF(VLOOKUP($E622,$D$5:$AH$1237,3,)=0,0,(VLOOKUP($E622,$D$5:$AH$1237,G$1,)/VLOOKUP($E622,$D$5:$AH$1237,3,))*$F622)</f>
        <v>444509.25581921625</v>
      </c>
      <c r="H622" s="404">
        <f t="shared" si="250"/>
        <v>162059.34822333007</v>
      </c>
      <c r="I622" s="404">
        <f t="shared" si="250"/>
        <v>3787.2968706314455</v>
      </c>
      <c r="J622" s="404">
        <f t="shared" si="250"/>
        <v>47553.633160187353</v>
      </c>
      <c r="K622" s="404">
        <f t="shared" si="250"/>
        <v>17453.313691641055</v>
      </c>
      <c r="L622" s="404">
        <f t="shared" si="250"/>
        <v>1788.0548518797154</v>
      </c>
      <c r="M622" s="404">
        <f t="shared" si="250"/>
        <v>12629.060826591258</v>
      </c>
      <c r="N622" s="404">
        <f t="shared" si="250"/>
        <v>17177.933889909233</v>
      </c>
      <c r="O622" s="404">
        <f t="shared" si="250"/>
        <v>631.11106867742944</v>
      </c>
      <c r="P622" s="404">
        <f t="shared" si="250"/>
        <v>0</v>
      </c>
      <c r="Q622" s="404">
        <f t="shared" si="250"/>
        <v>11.644626160416903</v>
      </c>
      <c r="R622" s="404">
        <f t="shared" si="250"/>
        <v>762.1937123181973</v>
      </c>
      <c r="S622" s="404"/>
      <c r="T622" s="62">
        <f>SUM(G622:R622)</f>
        <v>708362.84674054233</v>
      </c>
      <c r="U622" s="61" t="str">
        <f>IF(ABS(F622-T622)&lt;0.01,"ok","err")</f>
        <v>ok</v>
      </c>
      <c r="V622" s="62" t="str">
        <f>IF(U622="err",T622-F622,"")</f>
        <v/>
      </c>
    </row>
    <row r="623" spans="1:22" ht="12" customHeight="1" x14ac:dyDescent="0.2">
      <c r="F623" s="73"/>
    </row>
    <row r="624" spans="1:22" ht="12" customHeight="1" x14ac:dyDescent="0.2">
      <c r="A624" s="171" t="s">
        <v>173</v>
      </c>
      <c r="F624" s="73"/>
    </row>
    <row r="625" spans="1:22" ht="12" customHeight="1" x14ac:dyDescent="0.2">
      <c r="A625" s="403" t="s">
        <v>504</v>
      </c>
      <c r="C625" s="55" t="s">
        <v>488</v>
      </c>
      <c r="D625" s="55" t="s">
        <v>1457</v>
      </c>
      <c r="E625" s="55" t="s">
        <v>507</v>
      </c>
      <c r="F625" s="404">
        <f>VLOOKUP(C625,'Functional Assignment'!$C$1:$AU$773,28,)</f>
        <v>1040390.3788394206</v>
      </c>
      <c r="G625" s="404">
        <f t="shared" ref="G625:R625" si="251">IF(VLOOKUP($E625,$D$5:$AH$1237,3,)=0,0,(VLOOKUP($E625,$D$5:$AH$1237,G$1,)/VLOOKUP($E625,$D$5:$AH$1237,3,))*$F625)</f>
        <v>0</v>
      </c>
      <c r="H625" s="404">
        <f t="shared" si="251"/>
        <v>0</v>
      </c>
      <c r="I625" s="404">
        <f t="shared" si="251"/>
        <v>0</v>
      </c>
      <c r="J625" s="404">
        <f t="shared" si="251"/>
        <v>0</v>
      </c>
      <c r="K625" s="404">
        <f t="shared" si="251"/>
        <v>0</v>
      </c>
      <c r="L625" s="404">
        <f t="shared" si="251"/>
        <v>0</v>
      </c>
      <c r="M625" s="404">
        <f t="shared" si="251"/>
        <v>0</v>
      </c>
      <c r="N625" s="404">
        <f t="shared" si="251"/>
        <v>0</v>
      </c>
      <c r="O625" s="404">
        <f t="shared" si="251"/>
        <v>0</v>
      </c>
      <c r="P625" s="404">
        <f t="shared" si="251"/>
        <v>1040390.3788394206</v>
      </c>
      <c r="Q625" s="404">
        <f t="shared" si="251"/>
        <v>0</v>
      </c>
      <c r="R625" s="404">
        <f t="shared" si="251"/>
        <v>0</v>
      </c>
      <c r="S625" s="404"/>
      <c r="T625" s="62">
        <f>SUM(G625:R625)</f>
        <v>1040390.3788394206</v>
      </c>
      <c r="U625" s="61" t="str">
        <f>IF(ABS(F625-T625)&lt;0.01,"ok","err")</f>
        <v>ok</v>
      </c>
      <c r="V625" s="62" t="str">
        <f>IF(U625="err",T625-F625,"")</f>
        <v/>
      </c>
    </row>
    <row r="626" spans="1:22" ht="12" customHeight="1" x14ac:dyDescent="0.2">
      <c r="F626" s="73"/>
    </row>
    <row r="627" spans="1:22" ht="12" customHeight="1" x14ac:dyDescent="0.2">
      <c r="A627" s="171" t="s">
        <v>381</v>
      </c>
      <c r="F627" s="73"/>
    </row>
    <row r="628" spans="1:22" ht="12" customHeight="1" x14ac:dyDescent="0.2">
      <c r="A628" s="403" t="s">
        <v>504</v>
      </c>
      <c r="C628" s="55" t="s">
        <v>488</v>
      </c>
      <c r="D628" s="55" t="s">
        <v>1458</v>
      </c>
      <c r="E628" s="55" t="s">
        <v>508</v>
      </c>
      <c r="F628" s="404">
        <f>VLOOKUP(C628,'Functional Assignment'!$C$1:$AU$773,30,)</f>
        <v>0</v>
      </c>
      <c r="G628" s="404">
        <f t="shared" ref="G628:R628" si="252">IF(VLOOKUP($E628,$D$5:$AH$1237,3,)=0,0,(VLOOKUP($E628,$D$5:$AH$1237,G$1,)/VLOOKUP($E628,$D$5:$AH$1237,3,))*$F628)</f>
        <v>0</v>
      </c>
      <c r="H628" s="404">
        <f t="shared" si="252"/>
        <v>0</v>
      </c>
      <c r="I628" s="404">
        <f t="shared" si="252"/>
        <v>0</v>
      </c>
      <c r="J628" s="404">
        <f t="shared" si="252"/>
        <v>0</v>
      </c>
      <c r="K628" s="404">
        <f t="shared" si="252"/>
        <v>0</v>
      </c>
      <c r="L628" s="404">
        <f t="shared" si="252"/>
        <v>0</v>
      </c>
      <c r="M628" s="404">
        <f t="shared" si="252"/>
        <v>0</v>
      </c>
      <c r="N628" s="404">
        <f t="shared" si="252"/>
        <v>0</v>
      </c>
      <c r="O628" s="404">
        <f t="shared" si="252"/>
        <v>0</v>
      </c>
      <c r="P628" s="404">
        <f t="shared" si="252"/>
        <v>0</v>
      </c>
      <c r="Q628" s="404">
        <f t="shared" si="252"/>
        <v>0</v>
      </c>
      <c r="R628" s="404">
        <f t="shared" si="252"/>
        <v>0</v>
      </c>
      <c r="S628" s="404"/>
      <c r="T628" s="62">
        <f>SUM(G628:R628)</f>
        <v>0</v>
      </c>
      <c r="U628" s="61" t="str">
        <f>IF(ABS(F628-T628)&lt;0.01,"ok","err")</f>
        <v>ok</v>
      </c>
      <c r="V628" s="62" t="str">
        <f>IF(U628="err",T628-F628,"")</f>
        <v/>
      </c>
    </row>
    <row r="629" spans="1:22" ht="12" customHeight="1" x14ac:dyDescent="0.2">
      <c r="F629" s="73"/>
    </row>
    <row r="630" spans="1:22" ht="12" customHeight="1" x14ac:dyDescent="0.2">
      <c r="A630" s="171" t="s">
        <v>2090</v>
      </c>
      <c r="F630" s="73"/>
    </row>
    <row r="631" spans="1:22" ht="12" customHeight="1" x14ac:dyDescent="0.2">
      <c r="A631" s="403" t="s">
        <v>504</v>
      </c>
      <c r="C631" s="55" t="s">
        <v>488</v>
      </c>
      <c r="D631" s="55" t="s">
        <v>1459</v>
      </c>
      <c r="E631" s="55" t="s">
        <v>508</v>
      </c>
      <c r="F631" s="404">
        <f>VLOOKUP(C631,'Functional Assignment'!$C$1:$AU$773,32,)</f>
        <v>0</v>
      </c>
      <c r="G631" s="404">
        <f t="shared" ref="G631:R631" si="253">IF(VLOOKUP($E631,$D$5:$AH$1237,3,)=0,0,(VLOOKUP($E631,$D$5:$AH$1237,G$1,)/VLOOKUP($E631,$D$5:$AH$1237,3,))*$F631)</f>
        <v>0</v>
      </c>
      <c r="H631" s="404">
        <f t="shared" si="253"/>
        <v>0</v>
      </c>
      <c r="I631" s="404">
        <f t="shared" si="253"/>
        <v>0</v>
      </c>
      <c r="J631" s="404">
        <f t="shared" si="253"/>
        <v>0</v>
      </c>
      <c r="K631" s="404">
        <f t="shared" si="253"/>
        <v>0</v>
      </c>
      <c r="L631" s="404">
        <f t="shared" si="253"/>
        <v>0</v>
      </c>
      <c r="M631" s="404">
        <f t="shared" si="253"/>
        <v>0</v>
      </c>
      <c r="N631" s="404">
        <f t="shared" si="253"/>
        <v>0</v>
      </c>
      <c r="O631" s="404">
        <f t="shared" si="253"/>
        <v>0</v>
      </c>
      <c r="P631" s="404">
        <f t="shared" si="253"/>
        <v>0</v>
      </c>
      <c r="Q631" s="404">
        <f t="shared" si="253"/>
        <v>0</v>
      </c>
      <c r="R631" s="404">
        <f t="shared" si="253"/>
        <v>0</v>
      </c>
      <c r="S631" s="404"/>
      <c r="T631" s="62">
        <f>SUM(G631:R631)</f>
        <v>0</v>
      </c>
      <c r="U631" s="61" t="str">
        <f>IF(ABS(F631-T631)&lt;0.01,"ok","err")</f>
        <v>ok</v>
      </c>
      <c r="V631" s="62" t="str">
        <f>IF(U631="err",T631-F631,"")</f>
        <v/>
      </c>
    </row>
    <row r="632" spans="1:22" ht="12" customHeight="1" x14ac:dyDescent="0.2">
      <c r="F632" s="73"/>
    </row>
    <row r="633" spans="1:22" ht="12" customHeight="1" x14ac:dyDescent="0.2">
      <c r="A633" s="171" t="s">
        <v>2089</v>
      </c>
      <c r="F633" s="73"/>
    </row>
    <row r="634" spans="1:22" ht="12" customHeight="1" x14ac:dyDescent="0.2">
      <c r="A634" s="403" t="s">
        <v>504</v>
      </c>
      <c r="C634" s="55" t="s">
        <v>488</v>
      </c>
      <c r="D634" s="55" t="s">
        <v>1460</v>
      </c>
      <c r="E634" s="55" t="s">
        <v>509</v>
      </c>
      <c r="F634" s="404">
        <f>VLOOKUP(C634,'Functional Assignment'!$C$1:$AU$773,34,)</f>
        <v>0</v>
      </c>
      <c r="G634" s="404">
        <f t="shared" ref="G634:R634" si="254">IF(VLOOKUP($E634,$D$5:$AH$1237,3,)=0,0,(VLOOKUP($E634,$D$5:$AH$1237,G$1,)/VLOOKUP($E634,$D$5:$AH$1237,3,))*$F634)</f>
        <v>0</v>
      </c>
      <c r="H634" s="404">
        <f t="shared" si="254"/>
        <v>0</v>
      </c>
      <c r="I634" s="404">
        <f t="shared" si="254"/>
        <v>0</v>
      </c>
      <c r="J634" s="404">
        <f t="shared" si="254"/>
        <v>0</v>
      </c>
      <c r="K634" s="404">
        <f t="shared" si="254"/>
        <v>0</v>
      </c>
      <c r="L634" s="404">
        <f t="shared" si="254"/>
        <v>0</v>
      </c>
      <c r="M634" s="404">
        <f t="shared" si="254"/>
        <v>0</v>
      </c>
      <c r="N634" s="404">
        <f t="shared" si="254"/>
        <v>0</v>
      </c>
      <c r="O634" s="404">
        <f t="shared" si="254"/>
        <v>0</v>
      </c>
      <c r="P634" s="404">
        <f t="shared" si="254"/>
        <v>0</v>
      </c>
      <c r="Q634" s="404">
        <f t="shared" si="254"/>
        <v>0</v>
      </c>
      <c r="R634" s="404">
        <f t="shared" si="254"/>
        <v>0</v>
      </c>
      <c r="S634" s="404"/>
      <c r="T634" s="62">
        <f>SUM(G634:R634)</f>
        <v>0</v>
      </c>
      <c r="U634" s="61" t="str">
        <f>IF(ABS(F634-T634)&lt;0.01,"ok","err")</f>
        <v>ok</v>
      </c>
      <c r="V634" s="62" t="str">
        <f>IF(U634="err",T634-F634,"")</f>
        <v/>
      </c>
    </row>
    <row r="635" spans="1:22" ht="12" customHeight="1" x14ac:dyDescent="0.2">
      <c r="F635" s="73"/>
    </row>
    <row r="636" spans="1:22" ht="12" customHeight="1" x14ac:dyDescent="0.2">
      <c r="A636" s="55" t="s">
        <v>82</v>
      </c>
      <c r="D636" s="55" t="s">
        <v>1461</v>
      </c>
      <c r="F636" s="404">
        <f>F591+F597+F600+F603+F611+F616+F619+F622+F625+F628+F631+F634</f>
        <v>59882590.212777451</v>
      </c>
      <c r="G636" s="404">
        <f t="shared" ref="G636:R636" si="255">G591+G597+G600+G603+G611+G616+G619+G622+G625+G628+G631+G634</f>
        <v>26627030.658153024</v>
      </c>
      <c r="H636" s="404">
        <f t="shared" si="255"/>
        <v>7602696.6826970316</v>
      </c>
      <c r="I636" s="404">
        <f>I591+I597+I600+I603+I611+I616+I619+I622+I625+I628+I631+I634</f>
        <v>451846.58798744023</v>
      </c>
      <c r="J636" s="404">
        <f t="shared" si="255"/>
        <v>7934198.333919785</v>
      </c>
      <c r="K636" s="404">
        <f t="shared" si="255"/>
        <v>1766148.0961665623</v>
      </c>
      <c r="L636" s="404">
        <f t="shared" si="255"/>
        <v>1218140.3158181203</v>
      </c>
      <c r="M636" s="404">
        <f>M591+M597+M600+M603+M611+M616+M619+M622+M625+M628+M631+M634</f>
        <v>8563035.9822794423</v>
      </c>
      <c r="N636" s="404">
        <f>N591+N597+N600+N603+N611+N616+N619+N622+N625+N628+N631+N634</f>
        <v>3340544.0610360652</v>
      </c>
      <c r="O636" s="404">
        <f t="shared" si="255"/>
        <v>985123.25665112166</v>
      </c>
      <c r="P636" s="404">
        <f t="shared" si="255"/>
        <v>1388887.7613557687</v>
      </c>
      <c r="Q636" s="404">
        <f t="shared" si="255"/>
        <v>87.113220459451981</v>
      </c>
      <c r="R636" s="404">
        <f t="shared" si="255"/>
        <v>4851.3634926453742</v>
      </c>
      <c r="S636" s="404"/>
      <c r="T636" s="62">
        <f>SUM(G636:R636)</f>
        <v>59882590.212777458</v>
      </c>
      <c r="U636" s="61" t="str">
        <f>IF(ABS(F636-T636)&lt;0.01,"ok","err")</f>
        <v>ok</v>
      </c>
      <c r="V636" s="405" t="str">
        <f>IF(U636="err",T636-F636,"")</f>
        <v/>
      </c>
    </row>
    <row r="637" spans="1:22" ht="12" customHeight="1" x14ac:dyDescent="0.2">
      <c r="F637" s="404"/>
      <c r="G637" s="404"/>
      <c r="H637" s="404"/>
      <c r="I637" s="404"/>
      <c r="J637" s="404"/>
      <c r="K637" s="404"/>
      <c r="L637" s="404"/>
      <c r="M637" s="404"/>
      <c r="N637" s="404"/>
      <c r="O637" s="404"/>
      <c r="P637" s="404"/>
      <c r="Q637" s="404"/>
      <c r="R637" s="404"/>
      <c r="S637" s="404"/>
      <c r="T637" s="62"/>
      <c r="U637" s="61"/>
    </row>
    <row r="638" spans="1:22" ht="12" customHeight="1" x14ac:dyDescent="0.2">
      <c r="F638" s="404"/>
      <c r="G638" s="404"/>
      <c r="H638" s="404"/>
      <c r="I638" s="404"/>
      <c r="J638" s="404"/>
      <c r="K638" s="404"/>
      <c r="L638" s="404"/>
      <c r="M638" s="404"/>
      <c r="N638" s="404"/>
      <c r="O638" s="404"/>
      <c r="P638" s="404"/>
      <c r="Q638" s="404"/>
      <c r="R638" s="404"/>
      <c r="S638" s="404"/>
      <c r="T638" s="62"/>
      <c r="U638" s="61"/>
    </row>
    <row r="639" spans="1:22" ht="12" customHeight="1" x14ac:dyDescent="0.2">
      <c r="F639" s="404"/>
      <c r="G639" s="404"/>
      <c r="H639" s="404"/>
      <c r="I639" s="404"/>
      <c r="J639" s="404"/>
      <c r="K639" s="404"/>
      <c r="L639" s="404"/>
      <c r="M639" s="404"/>
      <c r="N639" s="404"/>
      <c r="O639" s="404"/>
      <c r="P639" s="404"/>
      <c r="Q639" s="404"/>
      <c r="R639" s="404"/>
      <c r="S639" s="404"/>
      <c r="T639" s="62"/>
      <c r="U639" s="61"/>
    </row>
    <row r="640" spans="1:22" ht="12" customHeight="1" x14ac:dyDescent="0.2">
      <c r="F640" s="404"/>
      <c r="G640" s="404"/>
      <c r="H640" s="404"/>
      <c r="I640" s="404"/>
      <c r="J640" s="404"/>
      <c r="K640" s="404"/>
      <c r="L640" s="404"/>
      <c r="M640" s="404"/>
      <c r="N640" s="404"/>
      <c r="O640" s="404"/>
      <c r="P640" s="404"/>
      <c r="Q640" s="404"/>
      <c r="R640" s="404"/>
      <c r="S640" s="404"/>
      <c r="T640" s="62"/>
      <c r="U640" s="61"/>
    </row>
    <row r="641" spans="1:22" ht="12" customHeight="1" x14ac:dyDescent="0.2">
      <c r="F641" s="404"/>
      <c r="G641" s="404"/>
      <c r="H641" s="404"/>
      <c r="I641" s="404"/>
      <c r="J641" s="404"/>
      <c r="K641" s="404"/>
      <c r="L641" s="404"/>
      <c r="M641" s="404"/>
      <c r="N641" s="404"/>
      <c r="O641" s="404"/>
      <c r="P641" s="404"/>
      <c r="Q641" s="404"/>
      <c r="R641" s="404"/>
      <c r="S641" s="404"/>
      <c r="T641" s="62"/>
      <c r="U641" s="61"/>
    </row>
    <row r="642" spans="1:22" ht="12" customHeight="1" x14ac:dyDescent="0.2">
      <c r="F642" s="404"/>
      <c r="G642" s="404"/>
      <c r="H642" s="404"/>
      <c r="I642" s="404"/>
      <c r="J642" s="404"/>
      <c r="K642" s="404"/>
      <c r="L642" s="404"/>
      <c r="M642" s="404"/>
      <c r="N642" s="404"/>
      <c r="O642" s="404"/>
      <c r="P642" s="404"/>
      <c r="Q642" s="404"/>
      <c r="R642" s="404"/>
      <c r="S642" s="404"/>
      <c r="T642" s="62"/>
      <c r="U642" s="61"/>
    </row>
    <row r="643" spans="1:22" ht="12" customHeight="1" x14ac:dyDescent="0.2">
      <c r="F643" s="404"/>
      <c r="G643" s="404"/>
      <c r="H643" s="404"/>
      <c r="I643" s="404"/>
      <c r="J643" s="404"/>
      <c r="K643" s="404"/>
      <c r="L643" s="404"/>
      <c r="M643" s="404"/>
      <c r="N643" s="404"/>
      <c r="O643" s="404"/>
      <c r="P643" s="404"/>
      <c r="Q643" s="404"/>
      <c r="R643" s="404"/>
      <c r="S643" s="404"/>
      <c r="T643" s="62"/>
      <c r="U643" s="61"/>
    </row>
    <row r="644" spans="1:22" ht="12" customHeight="1" x14ac:dyDescent="0.2">
      <c r="F644" s="404"/>
      <c r="G644" s="404"/>
      <c r="H644" s="404"/>
      <c r="I644" s="404"/>
      <c r="J644" s="404"/>
      <c r="K644" s="404"/>
      <c r="L644" s="404"/>
      <c r="M644" s="404"/>
      <c r="N644" s="404"/>
      <c r="O644" s="404"/>
      <c r="P644" s="404"/>
      <c r="Q644" s="404"/>
      <c r="R644" s="404"/>
      <c r="S644" s="404"/>
      <c r="T644" s="62"/>
      <c r="U644" s="61"/>
    </row>
    <row r="645" spans="1:22" ht="12" customHeight="1" x14ac:dyDescent="0.2">
      <c r="F645" s="404"/>
      <c r="G645" s="404"/>
      <c r="H645" s="404"/>
      <c r="I645" s="404"/>
      <c r="J645" s="404"/>
      <c r="K645" s="404"/>
      <c r="L645" s="404"/>
      <c r="M645" s="404"/>
      <c r="N645" s="404"/>
      <c r="O645" s="404"/>
      <c r="P645" s="404"/>
      <c r="Q645" s="404"/>
      <c r="R645" s="404"/>
      <c r="S645" s="404"/>
      <c r="T645" s="62"/>
      <c r="U645" s="61"/>
    </row>
    <row r="646" spans="1:22" ht="12" customHeight="1" x14ac:dyDescent="0.2">
      <c r="F646" s="404"/>
      <c r="G646" s="404"/>
      <c r="H646" s="404"/>
      <c r="I646" s="404"/>
      <c r="J646" s="404"/>
      <c r="K646" s="404"/>
      <c r="L646" s="404"/>
      <c r="M646" s="404"/>
      <c r="N646" s="404"/>
      <c r="O646" s="404"/>
      <c r="P646" s="404"/>
      <c r="Q646" s="404"/>
      <c r="R646" s="404"/>
      <c r="S646" s="404"/>
      <c r="T646" s="62"/>
      <c r="U646" s="61"/>
    </row>
    <row r="647" spans="1:22" ht="12" customHeight="1" x14ac:dyDescent="0.2">
      <c r="F647" s="404"/>
      <c r="G647" s="404"/>
      <c r="H647" s="404"/>
      <c r="I647" s="404"/>
      <c r="J647" s="404"/>
      <c r="K647" s="404"/>
      <c r="L647" s="404"/>
      <c r="M647" s="404"/>
      <c r="N647" s="404"/>
      <c r="O647" s="404"/>
      <c r="P647" s="404"/>
      <c r="Q647" s="404"/>
      <c r="R647" s="404"/>
      <c r="S647" s="404"/>
      <c r="T647" s="62"/>
      <c r="U647" s="61"/>
    </row>
    <row r="648" spans="1:22" ht="12" customHeight="1" x14ac:dyDescent="0.2">
      <c r="A648" s="402" t="s">
        <v>700</v>
      </c>
      <c r="F648" s="62"/>
    </row>
    <row r="649" spans="1:22" ht="12" customHeight="1" x14ac:dyDescent="0.2">
      <c r="F649" s="62"/>
      <c r="G649" s="62"/>
    </row>
    <row r="650" spans="1:22" ht="12" customHeight="1" x14ac:dyDescent="0.2">
      <c r="A650" s="171" t="s">
        <v>524</v>
      </c>
    </row>
    <row r="651" spans="1:22" ht="12" customHeight="1" x14ac:dyDescent="0.2">
      <c r="A651" s="403" t="s">
        <v>1171</v>
      </c>
      <c r="D651" s="55" t="s">
        <v>525</v>
      </c>
      <c r="E651" s="55" t="s">
        <v>609</v>
      </c>
      <c r="F651" s="404">
        <f>F1118</f>
        <v>1291701071</v>
      </c>
      <c r="G651" s="404">
        <f t="shared" ref="G651:R660" si="256">IF(VLOOKUP($E651,$D$5:$AH$1299,3,)=0,0,(VLOOKUP($E651,$D$5:$AH$1299,G$1,)/VLOOKUP($E651,$D$5:$AH$1299,3,))*$F651)</f>
        <v>474158148.2450546</v>
      </c>
      <c r="H651" s="404">
        <f t="shared" si="256"/>
        <v>181472282.14470112</v>
      </c>
      <c r="I651" s="404">
        <f t="shared" si="256"/>
        <v>11111097.565304646</v>
      </c>
      <c r="J651" s="404">
        <f t="shared" si="256"/>
        <v>222187654.28567299</v>
      </c>
      <c r="K651" s="404">
        <f t="shared" si="256"/>
        <v>51446771.960461453</v>
      </c>
      <c r="L651" s="404">
        <f t="shared" si="256"/>
        <v>25199769.093005463</v>
      </c>
      <c r="M651" s="404">
        <f t="shared" si="256"/>
        <v>202384448.4100292</v>
      </c>
      <c r="N651" s="404">
        <f t="shared" si="256"/>
        <v>85720555.033578545</v>
      </c>
      <c r="O651" s="404">
        <f t="shared" si="256"/>
        <v>14733899.703381946</v>
      </c>
      <c r="P651" s="404">
        <f t="shared" si="256"/>
        <v>23177212.484331798</v>
      </c>
      <c r="Q651" s="404">
        <f t="shared" si="256"/>
        <v>2251.0396387304627</v>
      </c>
      <c r="R651" s="404">
        <f t="shared" si="256"/>
        <v>106981.03483951358</v>
      </c>
      <c r="S651" s="404"/>
      <c r="T651" s="62">
        <f t="shared" ref="T651:T667" si="257">SUM(G651:R651)</f>
        <v>1291701071.0000005</v>
      </c>
      <c r="U651" s="61" t="str">
        <f t="shared" ref="U651:U667" si="258">IF(ABS(F651-T651)&lt;0.01,"ok","err")</f>
        <v>ok</v>
      </c>
      <c r="V651" s="62" t="str">
        <f>IF(U651="err",T651-F651,"")</f>
        <v/>
      </c>
    </row>
    <row r="652" spans="1:22" ht="12" customHeight="1" x14ac:dyDescent="0.2">
      <c r="A652" s="408" t="s">
        <v>2342</v>
      </c>
      <c r="E652" s="55" t="s">
        <v>2341</v>
      </c>
      <c r="F652" s="62">
        <v>0</v>
      </c>
      <c r="G652" s="73">
        <f t="shared" si="256"/>
        <v>0</v>
      </c>
      <c r="H652" s="73">
        <f t="shared" si="256"/>
        <v>0</v>
      </c>
      <c r="I652" s="73">
        <f t="shared" si="256"/>
        <v>0</v>
      </c>
      <c r="J652" s="73">
        <f t="shared" si="256"/>
        <v>0</v>
      </c>
      <c r="K652" s="73">
        <f t="shared" si="256"/>
        <v>0</v>
      </c>
      <c r="L652" s="73">
        <f t="shared" si="256"/>
        <v>0</v>
      </c>
      <c r="M652" s="73">
        <f t="shared" si="256"/>
        <v>0</v>
      </c>
      <c r="N652" s="73">
        <f t="shared" si="256"/>
        <v>0</v>
      </c>
      <c r="O652" s="73">
        <f t="shared" si="256"/>
        <v>0</v>
      </c>
      <c r="P652" s="73">
        <f t="shared" si="256"/>
        <v>0</v>
      </c>
      <c r="Q652" s="73">
        <f t="shared" si="256"/>
        <v>0</v>
      </c>
      <c r="R652" s="73">
        <f t="shared" si="256"/>
        <v>0</v>
      </c>
      <c r="S652" s="73"/>
      <c r="T652" s="73">
        <f t="shared" si="257"/>
        <v>0</v>
      </c>
      <c r="U652" s="61" t="str">
        <f t="shared" si="258"/>
        <v>ok</v>
      </c>
      <c r="V652" s="62" t="str">
        <f>IF(U652="err",T652-F652,"")</f>
        <v/>
      </c>
    </row>
    <row r="653" spans="1:22" ht="12" customHeight="1" x14ac:dyDescent="0.2">
      <c r="A653" s="409" t="s">
        <v>2344</v>
      </c>
      <c r="E653" s="55" t="s">
        <v>609</v>
      </c>
      <c r="F653" s="73">
        <v>0</v>
      </c>
      <c r="G653" s="404">
        <f t="shared" si="256"/>
        <v>0</v>
      </c>
      <c r="H653" s="404">
        <f t="shared" si="256"/>
        <v>0</v>
      </c>
      <c r="I653" s="404">
        <f t="shared" si="256"/>
        <v>0</v>
      </c>
      <c r="J653" s="404">
        <f t="shared" si="256"/>
        <v>0</v>
      </c>
      <c r="K653" s="404">
        <f t="shared" si="256"/>
        <v>0</v>
      </c>
      <c r="L653" s="404">
        <f t="shared" si="256"/>
        <v>0</v>
      </c>
      <c r="M653" s="404">
        <f t="shared" si="256"/>
        <v>0</v>
      </c>
      <c r="N653" s="404">
        <f t="shared" si="256"/>
        <v>0</v>
      </c>
      <c r="O653" s="404">
        <f t="shared" si="256"/>
        <v>0</v>
      </c>
      <c r="P653" s="404">
        <f t="shared" si="256"/>
        <v>0</v>
      </c>
      <c r="Q653" s="404">
        <f t="shared" si="256"/>
        <v>0</v>
      </c>
      <c r="R653" s="404">
        <f t="shared" si="256"/>
        <v>0</v>
      </c>
      <c r="S653" s="404"/>
      <c r="T653" s="62">
        <f>SUM(G653:R653)</f>
        <v>0</v>
      </c>
      <c r="U653" s="61" t="str">
        <f t="shared" si="258"/>
        <v>ok</v>
      </c>
      <c r="V653" s="62"/>
    </row>
    <row r="654" spans="1:22" ht="12" customHeight="1" x14ac:dyDescent="0.2">
      <c r="A654" s="55" t="s">
        <v>1473</v>
      </c>
      <c r="D654" s="55" t="s">
        <v>1015</v>
      </c>
      <c r="E654" s="55" t="s">
        <v>502</v>
      </c>
      <c r="F654" s="73">
        <f>'Billing Det'!$D$45</f>
        <v>22834450.036398787</v>
      </c>
      <c r="G654" s="73">
        <f t="shared" si="256"/>
        <v>7635845.5824399972</v>
      </c>
      <c r="H654" s="73">
        <f t="shared" si="256"/>
        <v>2444156.2251074198</v>
      </c>
      <c r="I654" s="73">
        <f t="shared" si="256"/>
        <v>201984.58633665496</v>
      </c>
      <c r="J654" s="73">
        <f t="shared" si="256"/>
        <v>3934465.6709731319</v>
      </c>
      <c r="K654" s="73">
        <f t="shared" si="256"/>
        <v>899632.61924044834</v>
      </c>
      <c r="L654" s="73">
        <f t="shared" si="256"/>
        <v>582438.13340487378</v>
      </c>
      <c r="M654" s="73">
        <f t="shared" si="256"/>
        <v>4492594.362640379</v>
      </c>
      <c r="N654" s="73">
        <f t="shared" si="256"/>
        <v>1874627.6976452847</v>
      </c>
      <c r="O654" s="73">
        <f t="shared" si="256"/>
        <v>608856.51441217586</v>
      </c>
      <c r="P654" s="73">
        <f t="shared" si="256"/>
        <v>158359.06789586585</v>
      </c>
      <c r="Q654" s="73">
        <f t="shared" si="256"/>
        <v>51.447977196181654</v>
      </c>
      <c r="R654" s="73">
        <f t="shared" si="256"/>
        <v>1438.128325360032</v>
      </c>
      <c r="S654" s="73"/>
      <c r="T654" s="73">
        <f t="shared" si="257"/>
        <v>22834450.036398787</v>
      </c>
      <c r="U654" s="61" t="str">
        <f t="shared" si="258"/>
        <v>ok</v>
      </c>
      <c r="V654" s="62" t="str">
        <f>IF(U654="err",T654-F654,"")</f>
        <v/>
      </c>
    </row>
    <row r="655" spans="1:22" ht="12" customHeight="1" x14ac:dyDescent="0.2">
      <c r="A655" s="55" t="s">
        <v>2352</v>
      </c>
      <c r="E655" s="55" t="s">
        <v>1472</v>
      </c>
      <c r="F655" s="73">
        <f>'Billing Det'!D44+'Billing Det'!D46</f>
        <v>5895029.1158981416</v>
      </c>
      <c r="G655" s="73">
        <f t="shared" si="256"/>
        <v>2160091.8413327187</v>
      </c>
      <c r="H655" s="73">
        <f t="shared" si="256"/>
        <v>662784.94809105736</v>
      </c>
      <c r="I655" s="73">
        <f t="shared" si="256"/>
        <v>49719.256379893246</v>
      </c>
      <c r="J655" s="73">
        <f t="shared" si="256"/>
        <v>953023.81192194507</v>
      </c>
      <c r="K655" s="73">
        <f t="shared" si="256"/>
        <v>218226.49188739277</v>
      </c>
      <c r="L655" s="73">
        <f t="shared" si="256"/>
        <v>145031.31845507916</v>
      </c>
      <c r="M655" s="73">
        <f t="shared" si="256"/>
        <v>1082539.3088812025</v>
      </c>
      <c r="N655" s="73">
        <f t="shared" si="256"/>
        <v>455186.16087541834</v>
      </c>
      <c r="O655" s="73">
        <f t="shared" si="256"/>
        <v>141369.60156255544</v>
      </c>
      <c r="P655" s="73">
        <f t="shared" si="256"/>
        <v>26723.138520311979</v>
      </c>
      <c r="Q655" s="73">
        <f t="shared" si="256"/>
        <v>8.6840867236747439</v>
      </c>
      <c r="R655" s="73">
        <f t="shared" si="256"/>
        <v>324.55390384420906</v>
      </c>
      <c r="S655" s="73"/>
      <c r="T655" s="73">
        <f>SUM(G655:R655)</f>
        <v>5895029.1158981416</v>
      </c>
      <c r="U655" s="61" t="str">
        <f t="shared" si="258"/>
        <v>ok</v>
      </c>
      <c r="V655" s="62"/>
    </row>
    <row r="656" spans="1:22" ht="12" customHeight="1" x14ac:dyDescent="0.2">
      <c r="A656" s="55" t="s">
        <v>1016</v>
      </c>
      <c r="E656" s="55" t="s">
        <v>124</v>
      </c>
      <c r="F656" s="73">
        <f>'Billing Det'!D47+'Billing Det'!D48</f>
        <v>-294880.45561542787</v>
      </c>
      <c r="G656" s="73">
        <f t="shared" si="256"/>
        <v>-98608.095258249858</v>
      </c>
      <c r="H656" s="73">
        <f t="shared" si="256"/>
        <v>-31563.444712094628</v>
      </c>
      <c r="I656" s="73">
        <f t="shared" si="256"/>
        <v>-2608.3968193367505</v>
      </c>
      <c r="J656" s="73">
        <f t="shared" si="256"/>
        <v>-50809.063840400311</v>
      </c>
      <c r="K656" s="73">
        <f t="shared" si="256"/>
        <v>-11617.712545091013</v>
      </c>
      <c r="L656" s="73">
        <f t="shared" si="256"/>
        <v>-7521.5134094517098</v>
      </c>
      <c r="M656" s="73">
        <f t="shared" si="256"/>
        <v>-58016.648986026034</v>
      </c>
      <c r="N656" s="73">
        <f t="shared" si="256"/>
        <v>-24208.643900325027</v>
      </c>
      <c r="O656" s="73">
        <f t="shared" si="256"/>
        <v>-7862.6761795485281</v>
      </c>
      <c r="P656" s="73">
        <f t="shared" si="256"/>
        <v>-2045.0238134717943</v>
      </c>
      <c r="Q656" s="73">
        <f t="shared" si="256"/>
        <v>-0.66439099395514944</v>
      </c>
      <c r="R656" s="73">
        <f t="shared" si="256"/>
        <v>-18.571760438268885</v>
      </c>
      <c r="S656" s="73"/>
      <c r="T656" s="73">
        <f>SUM(G656:R656)</f>
        <v>-294880.45561542787</v>
      </c>
      <c r="U656" s="61" t="str">
        <f t="shared" si="258"/>
        <v>ok</v>
      </c>
      <c r="V656" s="62"/>
    </row>
    <row r="657" spans="1:22" ht="12" customHeight="1" x14ac:dyDescent="0.2">
      <c r="A657" s="55" t="s">
        <v>2683</v>
      </c>
      <c r="E657" s="55" t="s">
        <v>2336</v>
      </c>
      <c r="F657" s="73">
        <f>ROUND('Jurisdictional Study'!F920,0)</f>
        <v>6910624</v>
      </c>
      <c r="G657" s="73">
        <f t="shared" si="256"/>
        <v>5226738.8347675027</v>
      </c>
      <c r="H657" s="73">
        <f t="shared" si="256"/>
        <v>1128696.5635073064</v>
      </c>
      <c r="I657" s="73">
        <f t="shared" si="256"/>
        <v>5854.3300181917202</v>
      </c>
      <c r="J657" s="73">
        <f t="shared" si="256"/>
        <v>225327.12070018053</v>
      </c>
      <c r="K657" s="73">
        <f t="shared" si="256"/>
        <v>29221.160090801703</v>
      </c>
      <c r="L657" s="73">
        <f t="shared" si="256"/>
        <v>75334.09023409283</v>
      </c>
      <c r="M657" s="73">
        <f t="shared" si="256"/>
        <v>179921.20055908634</v>
      </c>
      <c r="N657" s="73">
        <f t="shared" si="256"/>
        <v>39401.500122436039</v>
      </c>
      <c r="O657" s="73">
        <f t="shared" si="256"/>
        <v>0</v>
      </c>
      <c r="P657" s="73">
        <f t="shared" si="256"/>
        <v>125.42000038972955</v>
      </c>
      <c r="Q657" s="73">
        <f t="shared" si="256"/>
        <v>0</v>
      </c>
      <c r="R657" s="73">
        <f t="shared" si="256"/>
        <v>3.7800000117459551</v>
      </c>
      <c r="S657" s="73"/>
      <c r="T657" s="73">
        <f t="shared" si="257"/>
        <v>6910623.9999999991</v>
      </c>
      <c r="U657" s="61" t="str">
        <f t="shared" si="258"/>
        <v>ok</v>
      </c>
      <c r="V657" s="62" t="str">
        <f t="shared" ref="V657:V667" si="259">IF(U657="err",T657-F657,"")</f>
        <v/>
      </c>
    </row>
    <row r="658" spans="1:22" ht="12" customHeight="1" x14ac:dyDescent="0.2">
      <c r="A658" s="55" t="s">
        <v>2684</v>
      </c>
      <c r="E658" s="55" t="s">
        <v>2731</v>
      </c>
      <c r="F658" s="73">
        <f>ROUND('Jurisdictional Study'!F921,0)</f>
        <v>1659612</v>
      </c>
      <c r="G658" s="73">
        <f t="shared" si="256"/>
        <v>1505486.7171352801</v>
      </c>
      <c r="H658" s="73">
        <f t="shared" si="256"/>
        <v>53534.518175128105</v>
      </c>
      <c r="I658" s="73">
        <f t="shared" si="256"/>
        <v>661.87177081119887</v>
      </c>
      <c r="J658" s="73">
        <f t="shared" si="256"/>
        <v>3313.8856250249742</v>
      </c>
      <c r="K658" s="73">
        <f t="shared" si="256"/>
        <v>63194.360991281414</v>
      </c>
      <c r="L658" s="73">
        <f t="shared" si="256"/>
        <v>2611.3091550197801</v>
      </c>
      <c r="M658" s="73">
        <f t="shared" si="256"/>
        <v>98.535793805480594</v>
      </c>
      <c r="N658" s="73">
        <f t="shared" si="256"/>
        <v>0</v>
      </c>
      <c r="O658" s="73">
        <f t="shared" si="256"/>
        <v>125.34349945099328</v>
      </c>
      <c r="P658" s="73">
        <f t="shared" si="256"/>
        <v>30585.460731863179</v>
      </c>
      <c r="Q658" s="73">
        <f t="shared" si="256"/>
        <v>0</v>
      </c>
      <c r="R658" s="73">
        <f t="shared" si="256"/>
        <v>0</v>
      </c>
      <c r="S658" s="73"/>
      <c r="T658" s="73">
        <f t="shared" si="257"/>
        <v>1659612.0028776655</v>
      </c>
      <c r="U658" s="61" t="str">
        <f t="shared" si="258"/>
        <v>ok</v>
      </c>
      <c r="V658" s="62" t="str">
        <f t="shared" si="259"/>
        <v/>
      </c>
    </row>
    <row r="659" spans="1:22" ht="12" customHeight="1" x14ac:dyDescent="0.2">
      <c r="A659" s="55" t="s">
        <v>2685</v>
      </c>
      <c r="E659" s="55" t="s">
        <v>2731</v>
      </c>
      <c r="F659" s="73">
        <f>ROUND('Jurisdictional Study'!F922,0)</f>
        <v>547025</v>
      </c>
      <c r="G659" s="73">
        <f t="shared" si="256"/>
        <v>496223.73870574962</v>
      </c>
      <c r="H659" s="73">
        <f t="shared" si="256"/>
        <v>17645.52184772673</v>
      </c>
      <c r="I659" s="73">
        <f t="shared" si="256"/>
        <v>218.15966950588214</v>
      </c>
      <c r="J659" s="73">
        <f t="shared" si="256"/>
        <v>1092.290417295902</v>
      </c>
      <c r="K659" s="73">
        <f t="shared" si="256"/>
        <v>20829.504318633339</v>
      </c>
      <c r="L659" s="73">
        <f t="shared" si="256"/>
        <v>860.71406480833787</v>
      </c>
      <c r="M659" s="73">
        <f t="shared" si="256"/>
        <v>32.478400135961309</v>
      </c>
      <c r="N659" s="73">
        <f t="shared" si="256"/>
        <v>0</v>
      </c>
      <c r="O659" s="73">
        <f t="shared" si="256"/>
        <v>41.314492656825571</v>
      </c>
      <c r="P659" s="73">
        <f t="shared" si="256"/>
        <v>10081.279031995102</v>
      </c>
      <c r="Q659" s="73">
        <f t="shared" si="256"/>
        <v>0</v>
      </c>
      <c r="R659" s="73">
        <f t="shared" si="256"/>
        <v>0</v>
      </c>
      <c r="S659" s="73"/>
      <c r="T659" s="73">
        <f>SUM(G659:R659)</f>
        <v>547025.00094850769</v>
      </c>
      <c r="U659" s="61" t="str">
        <f t="shared" si="258"/>
        <v>ok</v>
      </c>
      <c r="V659" s="62" t="str">
        <f t="shared" si="259"/>
        <v/>
      </c>
    </row>
    <row r="660" spans="1:22" ht="12" customHeight="1" x14ac:dyDescent="0.2">
      <c r="A660" s="55" t="s">
        <v>2686</v>
      </c>
      <c r="E660" s="55" t="s">
        <v>294</v>
      </c>
      <c r="F660" s="73">
        <f>ROUND('Jurisdictional Study'!F923,0)+1</f>
        <v>2153991</v>
      </c>
      <c r="G660" s="73">
        <f t="shared" si="256"/>
        <v>952656.26276143629</v>
      </c>
      <c r="H660" s="73">
        <f t="shared" si="256"/>
        <v>272487.24865797156</v>
      </c>
      <c r="I660" s="73">
        <f t="shared" si="256"/>
        <v>16307.595775787704</v>
      </c>
      <c r="J660" s="73">
        <f t="shared" si="256"/>
        <v>287407.86153425078</v>
      </c>
      <c r="K660" s="73">
        <f t="shared" si="256"/>
        <v>64082.000545776231</v>
      </c>
      <c r="L660" s="73">
        <f t="shared" si="256"/>
        <v>44170.458369076667</v>
      </c>
      <c r="M660" s="73">
        <f t="shared" si="256"/>
        <v>310976.84608296741</v>
      </c>
      <c r="N660" s="73">
        <f t="shared" si="256"/>
        <v>121908.72610479195</v>
      </c>
      <c r="O660" s="73">
        <f t="shared" si="256"/>
        <v>35960.729918133387</v>
      </c>
      <c r="P660" s="73">
        <f t="shared" si="256"/>
        <v>47857.304682576054</v>
      </c>
      <c r="Q660" s="73">
        <f t="shared" si="256"/>
        <v>2.9839346353610252</v>
      </c>
      <c r="R660" s="73">
        <f t="shared" si="256"/>
        <v>172.98163259672816</v>
      </c>
      <c r="S660" s="73"/>
      <c r="T660" s="73">
        <f t="shared" si="257"/>
        <v>2153991</v>
      </c>
      <c r="U660" s="61" t="str">
        <f t="shared" si="258"/>
        <v>ok</v>
      </c>
      <c r="V660" s="62" t="str">
        <f t="shared" si="259"/>
        <v/>
      </c>
    </row>
    <row r="661" spans="1:22" ht="12" customHeight="1" x14ac:dyDescent="0.2">
      <c r="A661" s="55" t="s">
        <v>2687</v>
      </c>
      <c r="E661" s="55" t="s">
        <v>165</v>
      </c>
      <c r="F661" s="73">
        <f>ROUND('Jurisdictional Study'!F924,0)</f>
        <v>10488823</v>
      </c>
      <c r="G661" s="73">
        <f t="shared" ref="G661:R667" si="260">IF(VLOOKUP($E661,$D$5:$AH$1299,3,)=0,0,(VLOOKUP($E661,$D$5:$AH$1299,G$1,)/VLOOKUP($E661,$D$5:$AH$1299,3,))*$F661)</f>
        <v>4144146.1724963789</v>
      </c>
      <c r="H661" s="73">
        <f t="shared" si="260"/>
        <v>1229919.2339908814</v>
      </c>
      <c r="I661" s="73">
        <f t="shared" si="260"/>
        <v>84599.089765277749</v>
      </c>
      <c r="J661" s="73">
        <f t="shared" si="260"/>
        <v>1595773.5251476027</v>
      </c>
      <c r="K661" s="73">
        <f t="shared" si="260"/>
        <v>365937.66644333489</v>
      </c>
      <c r="L661" s="73">
        <f t="shared" si="260"/>
        <v>249552.92749936588</v>
      </c>
      <c r="M661" s="73">
        <f t="shared" si="260"/>
        <v>1802999.2758667881</v>
      </c>
      <c r="N661" s="73">
        <f t="shared" si="260"/>
        <v>764055.31146547489</v>
      </c>
      <c r="O661" s="73">
        <f t="shared" si="260"/>
        <v>226338.7253014592</v>
      </c>
      <c r="P661" s="73">
        <f t="shared" si="260"/>
        <v>24989.906679673135</v>
      </c>
      <c r="Q661" s="73">
        <f t="shared" si="260"/>
        <v>8.1262714478393239</v>
      </c>
      <c r="R661" s="73">
        <f t="shared" si="260"/>
        <v>503.03907231501518</v>
      </c>
      <c r="S661" s="73"/>
      <c r="T661" s="73">
        <f t="shared" si="257"/>
        <v>10488823</v>
      </c>
      <c r="U661" s="61" t="str">
        <f t="shared" si="258"/>
        <v>ok</v>
      </c>
      <c r="V661" s="62" t="str">
        <f t="shared" si="259"/>
        <v/>
      </c>
    </row>
    <row r="662" spans="1:22" ht="12" customHeight="1" x14ac:dyDescent="0.2">
      <c r="A662" s="55" t="s">
        <v>2688</v>
      </c>
      <c r="E662" s="55" t="s">
        <v>609</v>
      </c>
      <c r="F662" s="73">
        <f>ROUND('Jurisdictional Study'!F925,0)</f>
        <v>17113</v>
      </c>
      <c r="G662" s="73">
        <f t="shared" si="260"/>
        <v>6281.8469172869636</v>
      </c>
      <c r="H662" s="73">
        <f t="shared" si="260"/>
        <v>2404.2212506164828</v>
      </c>
      <c r="I662" s="73">
        <f t="shared" si="260"/>
        <v>147.20450180307887</v>
      </c>
      <c r="J662" s="73">
        <f t="shared" si="260"/>
        <v>2943.6356546852485</v>
      </c>
      <c r="K662" s="73">
        <f t="shared" si="260"/>
        <v>681.58851016341441</v>
      </c>
      <c r="L662" s="73">
        <f t="shared" si="260"/>
        <v>333.85715795276479</v>
      </c>
      <c r="M662" s="73">
        <f t="shared" si="260"/>
        <v>2681.274439882252</v>
      </c>
      <c r="N662" s="73">
        <f t="shared" si="260"/>
        <v>1135.6620283313441</v>
      </c>
      <c r="O662" s="73">
        <f t="shared" si="260"/>
        <v>195.20091086459681</v>
      </c>
      <c r="P662" s="73">
        <f t="shared" si="260"/>
        <v>307.06147587019387</v>
      </c>
      <c r="Q662" s="73">
        <f t="shared" si="260"/>
        <v>2.98227215278003E-2</v>
      </c>
      <c r="R662" s="73">
        <f t="shared" si="260"/>
        <v>1.4173298221323498</v>
      </c>
      <c r="S662" s="73"/>
      <c r="T662" s="73">
        <f t="shared" si="257"/>
        <v>17113</v>
      </c>
      <c r="U662" s="61" t="str">
        <f t="shared" si="258"/>
        <v>ok</v>
      </c>
      <c r="V662" s="62" t="str">
        <f t="shared" si="259"/>
        <v/>
      </c>
    </row>
    <row r="663" spans="1:22" ht="12" customHeight="1" x14ac:dyDescent="0.2">
      <c r="A663" s="55" t="s">
        <v>2689</v>
      </c>
      <c r="E663" s="55" t="s">
        <v>2731</v>
      </c>
      <c r="F663" s="73">
        <f>ROUND('Jurisdictional Study'!F926,0)</f>
        <v>130862</v>
      </c>
      <c r="G663" s="73">
        <f t="shared" si="260"/>
        <v>118709.07343268006</v>
      </c>
      <c r="H663" s="73">
        <f t="shared" si="260"/>
        <v>4221.2481697129297</v>
      </c>
      <c r="I663" s="73">
        <f t="shared" si="260"/>
        <v>52.189224753674416</v>
      </c>
      <c r="J663" s="73">
        <f t="shared" si="260"/>
        <v>261.30306400653774</v>
      </c>
      <c r="K663" s="73">
        <f t="shared" si="260"/>
        <v>4982.9360525478651</v>
      </c>
      <c r="L663" s="73">
        <f t="shared" si="260"/>
        <v>205.90423463086461</v>
      </c>
      <c r="M663" s="73">
        <f t="shared" si="260"/>
        <v>7.7696419699139332</v>
      </c>
      <c r="N663" s="73">
        <f t="shared" si="260"/>
        <v>0</v>
      </c>
      <c r="O663" s="73">
        <f t="shared" si="260"/>
        <v>9.8834553047072937</v>
      </c>
      <c r="P663" s="73">
        <f t="shared" si="260"/>
        <v>2411.692951300111</v>
      </c>
      <c r="Q663" s="73">
        <f t="shared" si="260"/>
        <v>0</v>
      </c>
      <c r="R663" s="73">
        <f t="shared" si="260"/>
        <v>0</v>
      </c>
      <c r="S663" s="73"/>
      <c r="T663" s="73">
        <f t="shared" si="257"/>
        <v>130862.00022690668</v>
      </c>
      <c r="U663" s="61" t="str">
        <f t="shared" si="258"/>
        <v>ok</v>
      </c>
      <c r="V663" s="62" t="str">
        <f t="shared" si="259"/>
        <v/>
      </c>
    </row>
    <row r="664" spans="1:22" ht="12" customHeight="1" x14ac:dyDescent="0.2">
      <c r="A664" s="55" t="s">
        <v>2690</v>
      </c>
      <c r="E664" s="55" t="s">
        <v>2731</v>
      </c>
      <c r="F664" s="73">
        <f>ROUND('Jurisdictional Study'!F927,0)</f>
        <v>22525</v>
      </c>
      <c r="G664" s="73">
        <f t="shared" si="260"/>
        <v>20433.142387179763</v>
      </c>
      <c r="H664" s="73">
        <f t="shared" si="260"/>
        <v>726.59454251641989</v>
      </c>
      <c r="I664" s="73">
        <f t="shared" si="260"/>
        <v>8.9832211610438186</v>
      </c>
      <c r="J664" s="73">
        <f t="shared" si="260"/>
        <v>44.977545175431089</v>
      </c>
      <c r="K664" s="73">
        <f t="shared" si="260"/>
        <v>857.70227096972894</v>
      </c>
      <c r="L664" s="73">
        <f t="shared" si="260"/>
        <v>35.44186154162572</v>
      </c>
      <c r="M664" s="73">
        <f t="shared" si="260"/>
        <v>1.3373720818290362</v>
      </c>
      <c r="N664" s="73">
        <f t="shared" si="260"/>
        <v>0</v>
      </c>
      <c r="O664" s="73">
        <f t="shared" si="260"/>
        <v>1.7012183119510003</v>
      </c>
      <c r="P664" s="73">
        <f t="shared" si="260"/>
        <v>415.11962011917132</v>
      </c>
      <c r="Q664" s="73">
        <f t="shared" si="260"/>
        <v>0</v>
      </c>
      <c r="R664" s="73">
        <f t="shared" si="260"/>
        <v>0</v>
      </c>
      <c r="S664" s="73"/>
      <c r="T664" s="73">
        <f t="shared" si="257"/>
        <v>22525.000039056969</v>
      </c>
      <c r="U664" s="61" t="str">
        <f t="shared" si="258"/>
        <v>ok</v>
      </c>
      <c r="V664" s="62" t="str">
        <f t="shared" si="259"/>
        <v/>
      </c>
    </row>
    <row r="665" spans="1:22" ht="12" customHeight="1" x14ac:dyDescent="0.2">
      <c r="A665" s="55" t="s">
        <v>2691</v>
      </c>
      <c r="E665" s="55" t="s">
        <v>2731</v>
      </c>
      <c r="F665" s="73">
        <f>ROUND('Jurisdictional Study'!F928,0)</f>
        <v>14277</v>
      </c>
      <c r="G665" s="73">
        <f t="shared" si="260"/>
        <v>12951.119816282597</v>
      </c>
      <c r="H665" s="73">
        <f t="shared" si="260"/>
        <v>460.53674954525758</v>
      </c>
      <c r="I665" s="73">
        <f t="shared" si="260"/>
        <v>5.6938267931730344</v>
      </c>
      <c r="J665" s="73">
        <f t="shared" si="260"/>
        <v>28.508076025288776</v>
      </c>
      <c r="K665" s="73">
        <f t="shared" si="260"/>
        <v>543.63664029455356</v>
      </c>
      <c r="L665" s="73">
        <f t="shared" si="260"/>
        <v>22.464082451932985</v>
      </c>
      <c r="M665" s="73">
        <f t="shared" si="260"/>
        <v>0.84766531464031747</v>
      </c>
      <c r="N665" s="73">
        <f t="shared" si="260"/>
        <v>0</v>
      </c>
      <c r="O665" s="73">
        <f t="shared" si="260"/>
        <v>1.0782816355038594</v>
      </c>
      <c r="P665" s="73">
        <f t="shared" si="260"/>
        <v>263.11488641249315</v>
      </c>
      <c r="Q665" s="73">
        <f t="shared" si="260"/>
        <v>0</v>
      </c>
      <c r="R665" s="73">
        <f t="shared" si="260"/>
        <v>0</v>
      </c>
      <c r="S665" s="73"/>
      <c r="T665" s="73">
        <f>SUM(G665:R665)</f>
        <v>14277.000024755442</v>
      </c>
      <c r="U665" s="61" t="str">
        <f t="shared" si="258"/>
        <v>ok</v>
      </c>
      <c r="V665" s="62" t="str">
        <f t="shared" si="259"/>
        <v/>
      </c>
    </row>
    <row r="666" spans="1:22" ht="12" customHeight="1" x14ac:dyDescent="0.2">
      <c r="A666" s="55" t="s">
        <v>2692</v>
      </c>
      <c r="E666" s="55" t="s">
        <v>609</v>
      </c>
      <c r="F666" s="73">
        <f>ROUND('Jurisdictional Study'!F929,0)</f>
        <v>-3602</v>
      </c>
      <c r="G666" s="73">
        <f t="shared" si="260"/>
        <v>-1322.2236075537687</v>
      </c>
      <c r="H666" s="73">
        <f t="shared" si="260"/>
        <v>-506.04832260390179</v>
      </c>
      <c r="I666" s="73">
        <f t="shared" si="260"/>
        <v>-30.984083182065685</v>
      </c>
      <c r="J666" s="73">
        <f t="shared" si="260"/>
        <v>-619.58602396869424</v>
      </c>
      <c r="K666" s="73">
        <f t="shared" si="260"/>
        <v>-143.46297046740014</v>
      </c>
      <c r="L666" s="73">
        <f t="shared" si="260"/>
        <v>-70.27134242656804</v>
      </c>
      <c r="M666" s="73">
        <f t="shared" si="260"/>
        <v>-564.36338061449601</v>
      </c>
      <c r="N666" s="73">
        <f t="shared" si="260"/>
        <v>-239.03784409802498</v>
      </c>
      <c r="O666" s="73">
        <f t="shared" si="260"/>
        <v>-41.086523750030835</v>
      </c>
      <c r="P666" s="73">
        <f t="shared" si="260"/>
        <v>-64.631299952342573</v>
      </c>
      <c r="Q666" s="73">
        <f t="shared" si="260"/>
        <v>-6.277183599785934E-3</v>
      </c>
      <c r="R666" s="73">
        <f t="shared" si="260"/>
        <v>-0.29832419910715385</v>
      </c>
      <c r="S666" s="73"/>
      <c r="T666" s="73">
        <f>SUM(G666:R666)</f>
        <v>-3601.9999999999995</v>
      </c>
      <c r="U666" s="61" t="str">
        <f t="shared" si="258"/>
        <v>ok</v>
      </c>
      <c r="V666" s="62" t="str">
        <f t="shared" si="259"/>
        <v/>
      </c>
    </row>
    <row r="667" spans="1:22" ht="12" customHeight="1" x14ac:dyDescent="0.2">
      <c r="A667" s="403" t="s">
        <v>1017</v>
      </c>
      <c r="D667" s="55" t="s">
        <v>1018</v>
      </c>
      <c r="E667" s="55" t="s">
        <v>609</v>
      </c>
      <c r="F667" s="73">
        <v>0</v>
      </c>
      <c r="G667" s="73">
        <f t="shared" si="260"/>
        <v>0</v>
      </c>
      <c r="H667" s="73">
        <f t="shared" si="260"/>
        <v>0</v>
      </c>
      <c r="I667" s="73">
        <f t="shared" si="260"/>
        <v>0</v>
      </c>
      <c r="J667" s="73">
        <f t="shared" si="260"/>
        <v>0</v>
      </c>
      <c r="K667" s="73">
        <f t="shared" si="260"/>
        <v>0</v>
      </c>
      <c r="L667" s="73">
        <f t="shared" si="260"/>
        <v>0</v>
      </c>
      <c r="M667" s="73">
        <f t="shared" si="260"/>
        <v>0</v>
      </c>
      <c r="N667" s="73">
        <f t="shared" si="260"/>
        <v>0</v>
      </c>
      <c r="O667" s="73">
        <f t="shared" si="260"/>
        <v>0</v>
      </c>
      <c r="P667" s="73">
        <f t="shared" si="260"/>
        <v>0</v>
      </c>
      <c r="Q667" s="73">
        <f t="shared" si="260"/>
        <v>0</v>
      </c>
      <c r="R667" s="73">
        <f t="shared" si="260"/>
        <v>0</v>
      </c>
      <c r="S667" s="73"/>
      <c r="T667" s="73">
        <f t="shared" si="257"/>
        <v>0</v>
      </c>
      <c r="U667" s="61" t="str">
        <f t="shared" si="258"/>
        <v>ok</v>
      </c>
      <c r="V667" s="62" t="str">
        <f t="shared" si="259"/>
        <v/>
      </c>
    </row>
    <row r="668" spans="1:22" ht="12" customHeight="1" x14ac:dyDescent="0.2">
      <c r="E668" s="410"/>
      <c r="T668" s="62"/>
    </row>
    <row r="669" spans="1:22" ht="12" customHeight="1" x14ac:dyDescent="0.2">
      <c r="A669" s="55" t="s">
        <v>526</v>
      </c>
      <c r="D669" s="55" t="s">
        <v>527</v>
      </c>
      <c r="E669" s="62"/>
      <c r="F669" s="62">
        <f>SUM(F651:F667)</f>
        <v>1342076919.6966815</v>
      </c>
      <c r="G669" s="62">
        <f t="shared" ref="G669:R669" si="261">SUM(G651:G668)</f>
        <v>496337782.25838131</v>
      </c>
      <c r="H669" s="62">
        <f t="shared" si="261"/>
        <v>187257249.5117563</v>
      </c>
      <c r="I669" s="62">
        <f t="shared" si="261"/>
        <v>11468017.144892761</v>
      </c>
      <c r="J669" s="62">
        <f t="shared" si="261"/>
        <v>229139908.22646797</v>
      </c>
      <c r="K669" s="62">
        <f t="shared" si="261"/>
        <v>53103200.451937541</v>
      </c>
      <c r="L669" s="62">
        <f t="shared" si="261"/>
        <v>26292773.926772475</v>
      </c>
      <c r="M669" s="62">
        <f t="shared" si="261"/>
        <v>210197720.63500616</v>
      </c>
      <c r="N669" s="62">
        <f t="shared" si="261"/>
        <v>88952422.410075888</v>
      </c>
      <c r="O669" s="62">
        <f t="shared" si="261"/>
        <v>15738896.033731196</v>
      </c>
      <c r="P669" s="62">
        <f t="shared" si="261"/>
        <v>23477221.395694751</v>
      </c>
      <c r="Q669" s="62">
        <f t="shared" si="261"/>
        <v>2321.6410632774919</v>
      </c>
      <c r="R669" s="62">
        <f t="shared" si="261"/>
        <v>109406.06501882606</v>
      </c>
      <c r="S669" s="62"/>
      <c r="T669" s="62">
        <f>SUM(G669:R669)</f>
        <v>1342076919.7007985</v>
      </c>
      <c r="U669" s="61" t="str">
        <f>IF(ABS(F669-T669)&lt;0.01,"ok","err")</f>
        <v>ok</v>
      </c>
      <c r="V669" s="62" t="str">
        <f>IF(U669="err",T669-F669,"")</f>
        <v/>
      </c>
    </row>
    <row r="670" spans="1:22" ht="12" customHeight="1" x14ac:dyDescent="0.2">
      <c r="E670" s="62"/>
      <c r="F670" s="404"/>
      <c r="G670" s="62"/>
    </row>
    <row r="671" spans="1:22" ht="12" customHeight="1" x14ac:dyDescent="0.2">
      <c r="A671" s="171" t="s">
        <v>528</v>
      </c>
      <c r="E671" s="62"/>
      <c r="F671" s="62"/>
    </row>
    <row r="672" spans="1:22" ht="12" customHeight="1" x14ac:dyDescent="0.2">
      <c r="A672" s="403" t="s">
        <v>529</v>
      </c>
      <c r="E672" s="405"/>
      <c r="F672" s="62">
        <f>F231</f>
        <v>858787982.80655324</v>
      </c>
      <c r="G672" s="62">
        <f t="shared" ref="G672:R672" si="262">G231</f>
        <v>332550542.46238667</v>
      </c>
      <c r="H672" s="62">
        <f t="shared" si="262"/>
        <v>104905177.57274917</v>
      </c>
      <c r="I672" s="62">
        <f>I231</f>
        <v>7372239.2442167262</v>
      </c>
      <c r="J672" s="62">
        <f t="shared" si="262"/>
        <v>131510847.83207567</v>
      </c>
      <c r="K672" s="62">
        <f t="shared" si="262"/>
        <v>29595390.789760306</v>
      </c>
      <c r="L672" s="62">
        <f t="shared" si="262"/>
        <v>19447461.670868166</v>
      </c>
      <c r="M672" s="62">
        <f>M231</f>
        <v>145790692.3536911</v>
      </c>
      <c r="N672" s="62">
        <f>N231</f>
        <v>59296646.123915702</v>
      </c>
      <c r="O672" s="62">
        <f t="shared" si="262"/>
        <v>18926916.147077117</v>
      </c>
      <c r="P672" s="62">
        <f t="shared" si="262"/>
        <v>9322434.2751641236</v>
      </c>
      <c r="Q672" s="62">
        <f t="shared" si="262"/>
        <v>1876.4788640370346</v>
      </c>
      <c r="R672" s="62">
        <f t="shared" si="262"/>
        <v>67757.855784387517</v>
      </c>
      <c r="S672" s="62"/>
      <c r="T672" s="62">
        <f t="shared" ref="T672:T680" si="263">SUM(G672:R672)</f>
        <v>858787982.80655324</v>
      </c>
      <c r="U672" s="61" t="str">
        <f t="shared" ref="U672:U680" si="264">IF(ABS(F672-T672)&lt;0.01,"ok","err")</f>
        <v>ok</v>
      </c>
      <c r="V672" s="405" t="str">
        <f t="shared" ref="V672:V680" si="265">IF(U672="err",T672-F672,"")</f>
        <v/>
      </c>
    </row>
    <row r="673" spans="1:22" ht="12" customHeight="1" x14ac:dyDescent="0.2">
      <c r="A673" s="403" t="s">
        <v>530</v>
      </c>
      <c r="F673" s="73">
        <f>F345</f>
        <v>167700748.64225844</v>
      </c>
      <c r="G673" s="73">
        <f t="shared" ref="G673:L673" si="266">G345</f>
        <v>73699223.710939452</v>
      </c>
      <c r="H673" s="73">
        <f t="shared" si="266"/>
        <v>21121073.846467357</v>
      </c>
      <c r="I673" s="73">
        <f>I345</f>
        <v>1274519.9907020095</v>
      </c>
      <c r="J673" s="73">
        <f t="shared" si="266"/>
        <v>22564394.612155128</v>
      </c>
      <c r="K673" s="73">
        <f t="shared" si="266"/>
        <v>5040755.816084858</v>
      </c>
      <c r="L673" s="73">
        <f t="shared" si="266"/>
        <v>3471937.4855865487</v>
      </c>
      <c r="M673" s="73">
        <f t="shared" ref="M673:R673" si="267">M345</f>
        <v>24487872.458493497</v>
      </c>
      <c r="N673" s="73">
        <f t="shared" si="267"/>
        <v>9654543.188335469</v>
      </c>
      <c r="O673" s="73">
        <f t="shared" si="267"/>
        <v>2848821.339736606</v>
      </c>
      <c r="P673" s="73">
        <f t="shared" si="267"/>
        <v>3524368.0260045133</v>
      </c>
      <c r="Q673" s="73">
        <f t="shared" si="267"/>
        <v>232.02731947284468</v>
      </c>
      <c r="R673" s="73">
        <f t="shared" si="267"/>
        <v>13006.140433533066</v>
      </c>
      <c r="S673" s="73"/>
      <c r="T673" s="62">
        <f t="shared" si="263"/>
        <v>167700748.64225844</v>
      </c>
      <c r="U673" s="61" t="str">
        <f t="shared" si="264"/>
        <v>ok</v>
      </c>
      <c r="V673" s="405" t="str">
        <f t="shared" si="265"/>
        <v/>
      </c>
    </row>
    <row r="674" spans="1:22" ht="12" customHeight="1" x14ac:dyDescent="0.2">
      <c r="A674" s="403" t="s">
        <v>324</v>
      </c>
      <c r="F674" s="73">
        <f>F402</f>
        <v>-2665352.2514233929</v>
      </c>
      <c r="G674" s="73">
        <f t="shared" ref="G674:R674" si="268">G402</f>
        <v>-1055664.9553276494</v>
      </c>
      <c r="H674" s="73">
        <f t="shared" si="268"/>
        <v>-313044.43798934371</v>
      </c>
      <c r="I674" s="73">
        <f>I402</f>
        <v>-21470.684927298582</v>
      </c>
      <c r="J674" s="73">
        <f t="shared" si="268"/>
        <v>-404484.43618869578</v>
      </c>
      <c r="K674" s="73">
        <f t="shared" si="268"/>
        <v>-92708.712768470636</v>
      </c>
      <c r="L674" s="73">
        <f t="shared" si="268"/>
        <v>-63235.069832804038</v>
      </c>
      <c r="M674" s="73">
        <f>M402</f>
        <v>-456661.18989068043</v>
      </c>
      <c r="N674" s="73">
        <f>N402</f>
        <v>-193268.18534264187</v>
      </c>
      <c r="O674" s="73">
        <f t="shared" si="268"/>
        <v>-57248.619911782509</v>
      </c>
      <c r="P674" s="73">
        <f t="shared" si="268"/>
        <v>-7434.3079535627212</v>
      </c>
      <c r="Q674" s="73">
        <f t="shared" si="268"/>
        <v>-2.1004155633624215</v>
      </c>
      <c r="R674" s="73">
        <f t="shared" si="268"/>
        <v>-129.55087490095832</v>
      </c>
      <c r="S674" s="73"/>
      <c r="T674" s="62">
        <f t="shared" si="263"/>
        <v>-2665352.2514233938</v>
      </c>
      <c r="U674" s="61" t="str">
        <f t="shared" si="264"/>
        <v>ok</v>
      </c>
      <c r="V674" s="62" t="str">
        <f t="shared" si="265"/>
        <v/>
      </c>
    </row>
    <row r="675" spans="1:22" ht="12" customHeight="1" x14ac:dyDescent="0.2">
      <c r="A675" s="403" t="s">
        <v>531</v>
      </c>
      <c r="E675" s="55" t="s">
        <v>511</v>
      </c>
      <c r="F675" s="73">
        <f>F459</f>
        <v>17000077.441468611</v>
      </c>
      <c r="G675" s="73">
        <f t="shared" ref="G675:L675" si="269">G459</f>
        <v>7559151.6936148442</v>
      </c>
      <c r="H675" s="73">
        <f t="shared" si="269"/>
        <v>2158330.6919524013</v>
      </c>
      <c r="I675" s="73">
        <f>I459</f>
        <v>128274.7950640722</v>
      </c>
      <c r="J675" s="73">
        <f t="shared" si="269"/>
        <v>2252440.7450201968</v>
      </c>
      <c r="K675" s="73">
        <f t="shared" si="269"/>
        <v>501392.04568888864</v>
      </c>
      <c r="L675" s="73">
        <f t="shared" si="269"/>
        <v>345818.03542399872</v>
      </c>
      <c r="M675" s="73">
        <f t="shared" ref="M675:R675" si="270">M459</f>
        <v>2430961.5585361104</v>
      </c>
      <c r="N675" s="73">
        <f t="shared" si="270"/>
        <v>948347.55030575965</v>
      </c>
      <c r="O675" s="73">
        <f t="shared" si="270"/>
        <v>279666.78784190927</v>
      </c>
      <c r="P675" s="73">
        <f t="shared" si="270"/>
        <v>394291.55313188169</v>
      </c>
      <c r="Q675" s="73">
        <f t="shared" si="270"/>
        <v>24.730585112038412</v>
      </c>
      <c r="R675" s="73">
        <f t="shared" si="270"/>
        <v>1377.2543034400535</v>
      </c>
      <c r="S675" s="73"/>
      <c r="T675" s="62">
        <f t="shared" si="263"/>
        <v>17000077.441468619</v>
      </c>
      <c r="U675" s="61" t="str">
        <f t="shared" si="264"/>
        <v>ok</v>
      </c>
      <c r="V675" s="62" t="str">
        <f t="shared" si="265"/>
        <v/>
      </c>
    </row>
    <row r="676" spans="1:22" ht="12" customHeight="1" x14ac:dyDescent="0.2">
      <c r="A676" s="403" t="s">
        <v>532</v>
      </c>
      <c r="F676" s="73">
        <f>F516</f>
        <v>8845972.7081135008</v>
      </c>
      <c r="G676" s="73">
        <f t="shared" ref="G676:R676" si="271">G516</f>
        <v>3933396.762952053</v>
      </c>
      <c r="H676" s="73">
        <f t="shared" si="271"/>
        <v>1123085.1425136386</v>
      </c>
      <c r="I676" s="73">
        <f>I516</f>
        <v>66747.656896415225</v>
      </c>
      <c r="J676" s="73">
        <f t="shared" si="271"/>
        <v>1172055.2112596855</v>
      </c>
      <c r="K676" s="73">
        <f t="shared" si="271"/>
        <v>260898.83222590474</v>
      </c>
      <c r="L676" s="73">
        <f t="shared" si="271"/>
        <v>179946.05694395304</v>
      </c>
      <c r="M676" s="73">
        <f>M516</f>
        <v>1264948.3318721741</v>
      </c>
      <c r="N676" s="73">
        <f>N516</f>
        <v>493471.66662590974</v>
      </c>
      <c r="O676" s="73">
        <f t="shared" si="271"/>
        <v>145524.3237057619</v>
      </c>
      <c r="P676" s="73">
        <f t="shared" si="271"/>
        <v>205169.20173176553</v>
      </c>
      <c r="Q676" s="73">
        <f t="shared" si="271"/>
        <v>12.868534376386407</v>
      </c>
      <c r="R676" s="73">
        <f t="shared" si="271"/>
        <v>716.65285186548556</v>
      </c>
      <c r="S676" s="73"/>
      <c r="T676" s="62">
        <f t="shared" si="263"/>
        <v>8845972.7081135027</v>
      </c>
      <c r="U676" s="61" t="str">
        <f t="shared" si="264"/>
        <v>ok</v>
      </c>
      <c r="V676" s="62" t="str">
        <f t="shared" si="265"/>
        <v/>
      </c>
    </row>
    <row r="677" spans="1:22" ht="12" customHeight="1" x14ac:dyDescent="0.2">
      <c r="A677" s="55" t="s">
        <v>1174</v>
      </c>
      <c r="F677" s="73">
        <f>F574</f>
        <v>-767.27434829426568</v>
      </c>
      <c r="G677" s="73">
        <f t="shared" ref="G677:R677" si="272">G574</f>
        <v>-256.57672655147002</v>
      </c>
      <c r="H677" s="73">
        <f t="shared" si="272"/>
        <v>-82.127591063473105</v>
      </c>
      <c r="I677" s="73">
        <f>I574</f>
        <v>-6.7870078587355911</v>
      </c>
      <c r="J677" s="73">
        <f t="shared" si="272"/>
        <v>-132.20439199411376</v>
      </c>
      <c r="K677" s="73">
        <f t="shared" si="272"/>
        <v>-30.229106920975781</v>
      </c>
      <c r="L677" s="73">
        <f t="shared" si="272"/>
        <v>-19.570860630214327</v>
      </c>
      <c r="M677" s="73">
        <f>M574</f>
        <v>-150.95841617602724</v>
      </c>
      <c r="N677" s="73">
        <f>N574</f>
        <v>-62.99051401336083</v>
      </c>
      <c r="O677" s="73">
        <f t="shared" si="272"/>
        <v>-20.458560839243059</v>
      </c>
      <c r="P677" s="73">
        <f t="shared" si="272"/>
        <v>-5.3211200805189325</v>
      </c>
      <c r="Q677" s="73">
        <f t="shared" si="272"/>
        <v>-1.7287350083463654E-3</v>
      </c>
      <c r="R677" s="73">
        <f t="shared" si="272"/>
        <v>-4.8323431124692201E-2</v>
      </c>
      <c r="S677" s="73"/>
      <c r="T677" s="62">
        <f t="shared" si="263"/>
        <v>-767.27434829426556</v>
      </c>
      <c r="U677" s="61" t="str">
        <f t="shared" si="264"/>
        <v>ok</v>
      </c>
      <c r="V677" s="62" t="str">
        <f t="shared" si="265"/>
        <v/>
      </c>
    </row>
    <row r="678" spans="1:22" ht="12" customHeight="1" x14ac:dyDescent="0.2">
      <c r="A678" s="403" t="s">
        <v>1915</v>
      </c>
      <c r="E678" s="55" t="s">
        <v>1431</v>
      </c>
      <c r="F678" s="73">
        <f>'Jurisdictional Study'!F1281+'Jurisdictional Study'!F1291</f>
        <v>89659333.980000004</v>
      </c>
      <c r="G678" s="404">
        <f t="shared" ref="G678:R678" si="273">IF(VLOOKUP($E678,$D$5:$AH$1237,3,)=0,0,(VLOOKUP($E678,$D$5:$AH$1237,G$1,)/VLOOKUP($E678,$D$5:$AH$1237,3,))*$F678)</f>
        <v>19511553.749609314</v>
      </c>
      <c r="H678" s="404">
        <f t="shared" si="273"/>
        <v>19263921.506408751</v>
      </c>
      <c r="I678" s="404">
        <f t="shared" si="273"/>
        <v>829878.55126266228</v>
      </c>
      <c r="J678" s="404">
        <f t="shared" si="273"/>
        <v>24409874.30770972</v>
      </c>
      <c r="K678" s="404">
        <f t="shared" si="273"/>
        <v>6134473.5232201414</v>
      </c>
      <c r="L678" s="404">
        <f t="shared" si="273"/>
        <v>605177.0054053074</v>
      </c>
      <c r="M678" s="404">
        <f t="shared" si="273"/>
        <v>10571114.537875118</v>
      </c>
      <c r="N678" s="404">
        <f t="shared" si="273"/>
        <v>5793960.6313363416</v>
      </c>
      <c r="O678" s="404">
        <f t="shared" si="273"/>
        <v>-804142.68751974148</v>
      </c>
      <c r="P678" s="404">
        <f t="shared" si="273"/>
        <v>3335155.7833623751</v>
      </c>
      <c r="Q678" s="404">
        <f t="shared" si="273"/>
        <v>34.905320247606817</v>
      </c>
      <c r="R678" s="404">
        <f t="shared" si="273"/>
        <v>8332.1675972272715</v>
      </c>
      <c r="S678" s="404"/>
      <c r="T678" s="62">
        <f t="shared" si="263"/>
        <v>89659333.981587455</v>
      </c>
      <c r="U678" s="61" t="str">
        <f t="shared" si="264"/>
        <v>ok</v>
      </c>
      <c r="V678" s="62" t="str">
        <f t="shared" si="265"/>
        <v/>
      </c>
    </row>
    <row r="679" spans="1:22" ht="12" customHeight="1" x14ac:dyDescent="0.2">
      <c r="A679" s="403" t="s">
        <v>634</v>
      </c>
      <c r="F679" s="73">
        <f>-F1220</f>
        <v>-5672872.8508417504</v>
      </c>
      <c r="G679" s="73">
        <f t="shared" ref="G679:R679" si="274">-G1220</f>
        <v>0</v>
      </c>
      <c r="H679" s="73">
        <f t="shared" si="274"/>
        <v>0</v>
      </c>
      <c r="I679" s="73">
        <f>-I1220</f>
        <v>0</v>
      </c>
      <c r="J679" s="73">
        <f t="shared" si="274"/>
        <v>0</v>
      </c>
      <c r="K679" s="73">
        <f t="shared" si="274"/>
        <v>-70827.272727272721</v>
      </c>
      <c r="L679" s="73">
        <f t="shared" si="274"/>
        <v>0</v>
      </c>
      <c r="M679" s="73">
        <f>-M1220</f>
        <v>-190331.78181818183</v>
      </c>
      <c r="N679" s="73">
        <f>-N1220</f>
        <v>0</v>
      </c>
      <c r="O679" s="73">
        <f t="shared" si="274"/>
        <v>-5411713.7962962957</v>
      </c>
      <c r="P679" s="73">
        <f t="shared" si="274"/>
        <v>0</v>
      </c>
      <c r="Q679" s="73">
        <f t="shared" si="274"/>
        <v>0</v>
      </c>
      <c r="R679" s="73">
        <f t="shared" si="274"/>
        <v>0</v>
      </c>
      <c r="S679" s="73"/>
      <c r="T679" s="62">
        <f t="shared" si="263"/>
        <v>-5672872.8508417504</v>
      </c>
      <c r="U679" s="61" t="str">
        <f t="shared" si="264"/>
        <v>ok</v>
      </c>
      <c r="V679" s="62" t="str">
        <f t="shared" si="265"/>
        <v/>
      </c>
    </row>
    <row r="680" spans="1:22" ht="12" customHeight="1" x14ac:dyDescent="0.2">
      <c r="A680" s="403" t="s">
        <v>718</v>
      </c>
      <c r="E680" s="55" t="s">
        <v>720</v>
      </c>
      <c r="F680" s="73">
        <f>-F679</f>
        <v>5672872.8508417504</v>
      </c>
      <c r="G680" s="404">
        <f t="shared" ref="G680:R680" si="275">IF(VLOOKUP($E680,$D$5:$AH$1299,3,)=0,0,(VLOOKUP($E680,$D$5:$AH$1299,G$1,)/VLOOKUP($E680,$D$5:$AH$1299,3,))*$F680)</f>
        <v>2422409.363763846</v>
      </c>
      <c r="H680" s="404">
        <f t="shared" si="275"/>
        <v>700281.16375136469</v>
      </c>
      <c r="I680" s="404">
        <f t="shared" si="275"/>
        <v>43630.144827521675</v>
      </c>
      <c r="J680" s="404">
        <f t="shared" si="275"/>
        <v>805162.32952428702</v>
      </c>
      <c r="K680" s="404">
        <f t="shared" si="275"/>
        <v>192821.88345711885</v>
      </c>
      <c r="L680" s="404">
        <f t="shared" si="275"/>
        <v>123237.69082680426</v>
      </c>
      <c r="M680" s="404">
        <f t="shared" si="275"/>
        <v>891853.96422304865</v>
      </c>
      <c r="N680" s="404">
        <f t="shared" si="275"/>
        <v>385939.89213795669</v>
      </c>
      <c r="O680" s="404">
        <f t="shared" si="275"/>
        <v>107318.9572211185</v>
      </c>
      <c r="P680" s="404">
        <f t="shared" si="275"/>
        <v>0</v>
      </c>
      <c r="Q680" s="404">
        <f t="shared" si="275"/>
        <v>0</v>
      </c>
      <c r="R680" s="404">
        <f t="shared" si="275"/>
        <v>217.46110868521043</v>
      </c>
      <c r="S680" s="404"/>
      <c r="T680" s="62">
        <f t="shared" si="263"/>
        <v>5672872.8508417523</v>
      </c>
      <c r="U680" s="61" t="str">
        <f t="shared" si="264"/>
        <v>ok</v>
      </c>
      <c r="V680" s="62" t="str">
        <f t="shared" si="265"/>
        <v/>
      </c>
    </row>
    <row r="681" spans="1:22" ht="12" customHeight="1" x14ac:dyDescent="0.2">
      <c r="A681" s="403"/>
      <c r="T681" s="62"/>
      <c r="U681" s="61"/>
    </row>
    <row r="682" spans="1:22" ht="12" customHeight="1" x14ac:dyDescent="0.2">
      <c r="A682" s="55" t="s">
        <v>533</v>
      </c>
      <c r="D682" s="55" t="s">
        <v>490</v>
      </c>
      <c r="F682" s="62">
        <f>SUM(F672:F681)</f>
        <v>1139327996.0526221</v>
      </c>
      <c r="G682" s="62">
        <f>SUM(G672:G681)</f>
        <v>438620356.21121198</v>
      </c>
      <c r="H682" s="62">
        <f t="shared" ref="H682:R682" si="276">SUM(H672:H681)</f>
        <v>148958743.3582623</v>
      </c>
      <c r="I682" s="62">
        <f>SUM(I672:I681)</f>
        <v>9693812.9110342525</v>
      </c>
      <c r="J682" s="62">
        <f t="shared" si="276"/>
        <v>182310158.39716402</v>
      </c>
      <c r="K682" s="62">
        <f t="shared" si="276"/>
        <v>41562166.675834559</v>
      </c>
      <c r="L682" s="62">
        <f t="shared" si="276"/>
        <v>24110323.30436134</v>
      </c>
      <c r="M682" s="62">
        <f t="shared" si="276"/>
        <v>184790299.27456602</v>
      </c>
      <c r="N682" s="62">
        <f>SUM(N672:N681)</f>
        <v>76379577.876800492</v>
      </c>
      <c r="O682" s="62">
        <f t="shared" si="276"/>
        <v>16035121.993293857</v>
      </c>
      <c r="P682" s="62">
        <f t="shared" si="276"/>
        <v>16773979.210321018</v>
      </c>
      <c r="Q682" s="62">
        <f t="shared" si="276"/>
        <v>2178.9084789475401</v>
      </c>
      <c r="R682" s="62">
        <f t="shared" si="276"/>
        <v>91277.932880806533</v>
      </c>
      <c r="S682" s="62"/>
      <c r="T682" s="62">
        <f>SUM(G682:R682)</f>
        <v>1139327996.0542095</v>
      </c>
      <c r="U682" s="61" t="str">
        <f>IF(ABS(F682-T682)&lt;0.01,"ok","err")</f>
        <v>ok</v>
      </c>
      <c r="V682" s="62" t="str">
        <f>IF(U682="err",T682-F682,"")</f>
        <v/>
      </c>
    </row>
    <row r="683" spans="1:22" ht="12" customHeight="1" x14ac:dyDescent="0.2">
      <c r="A683" s="403"/>
    </row>
    <row r="684" spans="1:22" ht="12" customHeight="1" x14ac:dyDescent="0.2">
      <c r="A684" s="55" t="s">
        <v>1177</v>
      </c>
      <c r="D684" s="55" t="s">
        <v>1037</v>
      </c>
      <c r="F684" s="62">
        <f>F669-F682</f>
        <v>202748923.64405942</v>
      </c>
      <c r="G684" s="62">
        <f t="shared" ref="G684:R684" si="277">G669-G682</f>
        <v>57717426.047169328</v>
      </c>
      <c r="H684" s="62">
        <f t="shared" si="277"/>
        <v>38298506.153494</v>
      </c>
      <c r="I684" s="62">
        <f>I669-I682</f>
        <v>1774204.233858509</v>
      </c>
      <c r="J684" s="62">
        <f t="shared" si="277"/>
        <v>46829749.82930395</v>
      </c>
      <c r="K684" s="62">
        <f t="shared" si="277"/>
        <v>11541033.776102982</v>
      </c>
      <c r="L684" s="62">
        <f t="shared" si="277"/>
        <v>2182450.6224111356</v>
      </c>
      <c r="M684" s="62">
        <f>M669-M682</f>
        <v>25407421.360440135</v>
      </c>
      <c r="N684" s="62">
        <f>N669-N682</f>
        <v>12572844.533275396</v>
      </c>
      <c r="O684" s="62">
        <f t="shared" si="277"/>
        <v>-296225.95956266113</v>
      </c>
      <c r="P684" s="62">
        <f t="shared" si="277"/>
        <v>6703242.1853737328</v>
      </c>
      <c r="Q684" s="62">
        <f t="shared" si="277"/>
        <v>142.73258432995181</v>
      </c>
      <c r="R684" s="62">
        <f t="shared" si="277"/>
        <v>18128.13213801953</v>
      </c>
      <c r="S684" s="62"/>
      <c r="T684" s="62">
        <f>SUM(G684:R684)</f>
        <v>202748923.64658883</v>
      </c>
      <c r="U684" s="61" t="str">
        <f>IF(ABS(F684-T684)&lt;0.01,"ok","err")</f>
        <v>ok</v>
      </c>
      <c r="V684" s="62" t="str">
        <f>IF(U684="err",T684-F684,"")</f>
        <v/>
      </c>
    </row>
    <row r="686" spans="1:22" ht="12" customHeight="1" x14ac:dyDescent="0.2">
      <c r="A686" s="55" t="s">
        <v>512</v>
      </c>
      <c r="F686" s="62">
        <f>F174</f>
        <v>3500935145.9468822</v>
      </c>
      <c r="G686" s="62">
        <f t="shared" ref="G686:L686" si="278">G174</f>
        <v>1548738985.592149</v>
      </c>
      <c r="H686" s="62">
        <f t="shared" si="278"/>
        <v>443688101.28910929</v>
      </c>
      <c r="I686" s="62">
        <f>I174</f>
        <v>26545088.772189468</v>
      </c>
      <c r="J686" s="62">
        <f t="shared" si="278"/>
        <v>466728220.29690921</v>
      </c>
      <c r="K686" s="62">
        <f t="shared" si="278"/>
        <v>103973077.01513284</v>
      </c>
      <c r="L686" s="62">
        <f t="shared" si="278"/>
        <v>71596666.097154915</v>
      </c>
      <c r="M686" s="62">
        <f t="shared" ref="M686:R686" si="279">M174</f>
        <v>504468963.40468323</v>
      </c>
      <c r="N686" s="62">
        <f t="shared" si="279"/>
        <v>197373813.70709348</v>
      </c>
      <c r="O686" s="62">
        <f t="shared" si="279"/>
        <v>58364474.805565506</v>
      </c>
      <c r="P686" s="62">
        <f t="shared" si="279"/>
        <v>79167563.99216941</v>
      </c>
      <c r="Q686" s="62">
        <f t="shared" si="279"/>
        <v>4998.5494176755246</v>
      </c>
      <c r="R686" s="62">
        <f t="shared" si="279"/>
        <v>285192.4253095552</v>
      </c>
      <c r="S686" s="62"/>
      <c r="T686" s="62">
        <f>SUM(G686:R686)</f>
        <v>3500935145.9468832</v>
      </c>
      <c r="U686" s="61" t="str">
        <f>IF(ABS(F686-T686)&lt;0.01,"ok","err")</f>
        <v>ok</v>
      </c>
      <c r="V686" s="405" t="str">
        <f>IF(U686="err",T686-F686,"")</f>
        <v/>
      </c>
    </row>
    <row r="687" spans="1:22" ht="12" customHeight="1" x14ac:dyDescent="0.2">
      <c r="B687" s="62"/>
      <c r="V687" s="405"/>
    </row>
    <row r="688" spans="1:22" s="171" customFormat="1" ht="12" customHeight="1" x14ac:dyDescent="0.2">
      <c r="A688" s="173"/>
      <c r="B688" s="173"/>
      <c r="C688" s="173"/>
      <c r="D688" s="173"/>
      <c r="E688" s="173"/>
      <c r="F688" s="411"/>
      <c r="G688" s="411"/>
      <c r="H688" s="411"/>
      <c r="I688" s="411"/>
      <c r="J688" s="411"/>
      <c r="K688" s="411"/>
      <c r="L688" s="411"/>
      <c r="M688" s="411"/>
      <c r="N688" s="411"/>
      <c r="O688" s="411"/>
      <c r="P688" s="411"/>
      <c r="Q688" s="411"/>
      <c r="R688" s="411"/>
      <c r="S688" s="411"/>
      <c r="T688" s="411"/>
      <c r="U688" s="175"/>
    </row>
    <row r="690" spans="1:22" ht="12" customHeight="1" x14ac:dyDescent="0.2">
      <c r="F690" s="73"/>
      <c r="G690" s="412"/>
      <c r="H690" s="412"/>
      <c r="I690" s="412"/>
      <c r="J690" s="412"/>
      <c r="K690" s="412"/>
      <c r="L690" s="412"/>
      <c r="M690" s="412"/>
      <c r="N690" s="412"/>
      <c r="O690" s="412"/>
      <c r="P690" s="412"/>
      <c r="Q690" s="412"/>
      <c r="R690" s="412"/>
      <c r="S690" s="412"/>
      <c r="T690" s="412"/>
    </row>
    <row r="692" spans="1:22" ht="12" customHeight="1" x14ac:dyDescent="0.2">
      <c r="F692" s="73"/>
      <c r="G692" s="73"/>
      <c r="H692" s="73"/>
      <c r="I692" s="73"/>
      <c r="J692" s="73"/>
      <c r="K692" s="73"/>
      <c r="L692" s="73"/>
      <c r="M692" s="73"/>
      <c r="N692" s="73"/>
      <c r="O692" s="73"/>
      <c r="P692" s="73"/>
      <c r="Q692" s="73"/>
      <c r="R692" s="73"/>
      <c r="S692" s="73"/>
      <c r="T692" s="73"/>
    </row>
    <row r="693" spans="1:22" ht="12" customHeight="1" x14ac:dyDescent="0.2">
      <c r="G693" s="413"/>
      <c r="H693" s="413"/>
      <c r="I693" s="413"/>
      <c r="J693" s="413"/>
      <c r="K693" s="414"/>
      <c r="L693" s="413"/>
      <c r="M693" s="414"/>
      <c r="N693" s="413"/>
      <c r="O693" s="413"/>
      <c r="P693" s="413"/>
      <c r="Q693" s="413"/>
      <c r="R693" s="413"/>
      <c r="S693" s="413"/>
      <c r="T693" s="413"/>
    </row>
    <row r="694" spans="1:22" ht="12" customHeight="1" x14ac:dyDescent="0.2">
      <c r="G694" s="413"/>
      <c r="H694" s="413"/>
      <c r="I694" s="413"/>
      <c r="J694" s="413"/>
      <c r="K694" s="413"/>
      <c r="L694" s="413"/>
      <c r="M694" s="413"/>
      <c r="N694" s="414"/>
      <c r="O694" s="413"/>
      <c r="P694" s="413"/>
      <c r="Q694" s="413"/>
      <c r="R694" s="413"/>
      <c r="S694" s="413"/>
      <c r="T694" s="413"/>
    </row>
    <row r="696" spans="1:22" ht="12" customHeight="1" x14ac:dyDescent="0.2">
      <c r="F696" s="415"/>
      <c r="G696" s="415"/>
      <c r="H696" s="415"/>
      <c r="I696" s="415"/>
      <c r="J696" s="415"/>
      <c r="K696" s="415"/>
      <c r="L696" s="415"/>
      <c r="M696" s="415"/>
      <c r="N696" s="415"/>
    </row>
    <row r="700" spans="1:22" ht="12" customHeight="1" x14ac:dyDescent="0.2">
      <c r="A700" s="402" t="s">
        <v>1426</v>
      </c>
    </row>
    <row r="702" spans="1:22" ht="12" customHeight="1" x14ac:dyDescent="0.2">
      <c r="A702" s="55" t="s">
        <v>1427</v>
      </c>
      <c r="F702" s="62">
        <f>F669</f>
        <v>1342076919.6966815</v>
      </c>
      <c r="G702" s="62">
        <f t="shared" ref="G702:R702" si="280">G669</f>
        <v>496337782.25838131</v>
      </c>
      <c r="H702" s="62">
        <f t="shared" si="280"/>
        <v>187257249.5117563</v>
      </c>
      <c r="I702" s="62">
        <f>I669</f>
        <v>11468017.144892761</v>
      </c>
      <c r="J702" s="62">
        <f t="shared" si="280"/>
        <v>229139908.22646797</v>
      </c>
      <c r="K702" s="62">
        <f t="shared" si="280"/>
        <v>53103200.451937541</v>
      </c>
      <c r="L702" s="62">
        <f t="shared" si="280"/>
        <v>26292773.926772475</v>
      </c>
      <c r="M702" s="62">
        <f>M669</f>
        <v>210197720.63500616</v>
      </c>
      <c r="N702" s="62">
        <f>N669</f>
        <v>88952422.410075888</v>
      </c>
      <c r="O702" s="62">
        <f t="shared" si="280"/>
        <v>15738896.033731196</v>
      </c>
      <c r="P702" s="62">
        <f t="shared" si="280"/>
        <v>23477221.395694751</v>
      </c>
      <c r="Q702" s="62">
        <f t="shared" si="280"/>
        <v>2321.6410632774919</v>
      </c>
      <c r="R702" s="62">
        <f t="shared" si="280"/>
        <v>109406.06501882606</v>
      </c>
      <c r="S702" s="62"/>
      <c r="T702" s="62">
        <f>SUM(G702:R702)</f>
        <v>1342076919.7007985</v>
      </c>
      <c r="U702" s="61" t="str">
        <f>IF(ABS(F702-T702)&lt;0.01,"ok","err")</f>
        <v>ok</v>
      </c>
      <c r="V702" s="62" t="str">
        <f>IF(U702="err",T702-F702,"")</f>
        <v/>
      </c>
    </row>
    <row r="704" spans="1:22" ht="12" customHeight="1" x14ac:dyDescent="0.2">
      <c r="A704" s="55" t="s">
        <v>528</v>
      </c>
      <c r="F704" s="62">
        <f>F672+F673+F674+F675+F676+F677+F679+F680</f>
        <v>1049668662.0726222</v>
      </c>
      <c r="G704" s="62">
        <f t="shared" ref="G704:R704" si="281">G672+G673+G674+G675+G676+G677+G679+G680</f>
        <v>419108802.46160269</v>
      </c>
      <c r="H704" s="62">
        <f t="shared" si="281"/>
        <v>129694821.85185353</v>
      </c>
      <c r="I704" s="62">
        <f>I672+I673+I674+I675+I676+I677+I679+I680</f>
        <v>8863934.3597715907</v>
      </c>
      <c r="J704" s="62">
        <f t="shared" si="281"/>
        <v>157900284.08945429</v>
      </c>
      <c r="K704" s="62">
        <f t="shared" si="281"/>
        <v>35427693.152614415</v>
      </c>
      <c r="L704" s="62">
        <f t="shared" si="281"/>
        <v>23505146.298956033</v>
      </c>
      <c r="M704" s="62">
        <f>M672+M673+M674+M675+M676+M677+M679+M680</f>
        <v>174219184.73669091</v>
      </c>
      <c r="N704" s="62">
        <f>N672+N673+N674+N675+N676+N677+N679+N680</f>
        <v>70585617.245464146</v>
      </c>
      <c r="O704" s="62">
        <f t="shared" si="281"/>
        <v>16839264.680813596</v>
      </c>
      <c r="P704" s="62">
        <f t="shared" si="281"/>
        <v>13438823.426958643</v>
      </c>
      <c r="Q704" s="62">
        <f t="shared" si="281"/>
        <v>2144.0031586999335</v>
      </c>
      <c r="R704" s="62">
        <f t="shared" si="281"/>
        <v>82945.765283579254</v>
      </c>
      <c r="S704" s="62"/>
      <c r="T704" s="62">
        <f>SUM(G704:R704)</f>
        <v>1049668662.0726221</v>
      </c>
      <c r="U704" s="61" t="str">
        <f>IF(ABS(F704-T704)&lt;0.01,"ok","err")</f>
        <v>ok</v>
      </c>
      <c r="V704" s="405" t="str">
        <f>IF(U704="err",T704-F704,"")</f>
        <v/>
      </c>
    </row>
    <row r="706" spans="1:22" ht="12" customHeight="1" x14ac:dyDescent="0.2">
      <c r="A706" s="55" t="s">
        <v>1428</v>
      </c>
      <c r="D706" s="55" t="s">
        <v>1429</v>
      </c>
      <c r="F706" s="416">
        <f>F636</f>
        <v>59882590.212777451</v>
      </c>
      <c r="G706" s="416">
        <f t="shared" ref="G706:R706" si="282">G636</f>
        <v>26627030.658153024</v>
      </c>
      <c r="H706" s="416">
        <f t="shared" si="282"/>
        <v>7602696.6826970316</v>
      </c>
      <c r="I706" s="416">
        <f>I636</f>
        <v>451846.58798744023</v>
      </c>
      <c r="J706" s="416">
        <f t="shared" si="282"/>
        <v>7934198.333919785</v>
      </c>
      <c r="K706" s="416">
        <f t="shared" si="282"/>
        <v>1766148.0961665623</v>
      </c>
      <c r="L706" s="416">
        <f t="shared" si="282"/>
        <v>1218140.3158181203</v>
      </c>
      <c r="M706" s="416">
        <f>M636</f>
        <v>8563035.9822794423</v>
      </c>
      <c r="N706" s="416">
        <f>N636</f>
        <v>3340544.0610360652</v>
      </c>
      <c r="O706" s="416">
        <f t="shared" si="282"/>
        <v>985123.25665112166</v>
      </c>
      <c r="P706" s="416">
        <f t="shared" si="282"/>
        <v>1388887.7613557687</v>
      </c>
      <c r="Q706" s="416">
        <f t="shared" si="282"/>
        <v>87.113220459451981</v>
      </c>
      <c r="R706" s="416">
        <f t="shared" si="282"/>
        <v>4851.3634926453742</v>
      </c>
      <c r="S706" s="416"/>
      <c r="T706" s="416">
        <f>SUM(G706:R706)</f>
        <v>59882590.212777458</v>
      </c>
      <c r="U706" s="61" t="str">
        <f>IF(ABS(F706-T706)&lt;0.01,"ok","err")</f>
        <v>ok</v>
      </c>
      <c r="V706" s="405" t="str">
        <f>IF(U706="err",T706-F706,"")</f>
        <v/>
      </c>
    </row>
    <row r="708" spans="1:22" ht="12" customHeight="1" x14ac:dyDescent="0.2">
      <c r="A708" s="55" t="s">
        <v>1430</v>
      </c>
      <c r="D708" s="55" t="s">
        <v>1431</v>
      </c>
      <c r="F708" s="62">
        <f>F702-F704-F706</f>
        <v>232525667.41128188</v>
      </c>
      <c r="G708" s="62">
        <f t="shared" ref="G708:R708" si="283">G702-G704-G706</f>
        <v>50601949.138625592</v>
      </c>
      <c r="H708" s="62">
        <f t="shared" si="283"/>
        <v>49959730.977205738</v>
      </c>
      <c r="I708" s="62">
        <f>I702-I704-I706</f>
        <v>2152236.1971337306</v>
      </c>
      <c r="J708" s="62">
        <f t="shared" si="283"/>
        <v>63305425.803093888</v>
      </c>
      <c r="K708" s="62">
        <f t="shared" si="283"/>
        <v>15909359.203156564</v>
      </c>
      <c r="L708" s="62">
        <f t="shared" si="283"/>
        <v>1569487.3119983221</v>
      </c>
      <c r="M708" s="62">
        <f>M702-M704-M706</f>
        <v>27415499.916035809</v>
      </c>
      <c r="N708" s="62">
        <f>N702-N704-N706</f>
        <v>15026261.103575677</v>
      </c>
      <c r="O708" s="62">
        <f t="shared" si="283"/>
        <v>-2085491.9037335212</v>
      </c>
      <c r="P708" s="62">
        <f t="shared" si="283"/>
        <v>8649510.2073803395</v>
      </c>
      <c r="Q708" s="62">
        <f t="shared" si="283"/>
        <v>90.524684118106421</v>
      </c>
      <c r="R708" s="62">
        <f t="shared" si="283"/>
        <v>21608.936242601434</v>
      </c>
      <c r="S708" s="62"/>
      <c r="T708" s="62">
        <f>SUM(G708:R708)</f>
        <v>232525667.41539887</v>
      </c>
      <c r="U708" s="61" t="str">
        <f>IF(ABS(F708-T708)&lt;0.01,"ok","err")</f>
        <v>ok</v>
      </c>
      <c r="V708" s="62" t="str">
        <f>IF(U708="err",T708-F708,"")</f>
        <v/>
      </c>
    </row>
    <row r="709" spans="1:22" ht="13.5" hidden="1" customHeight="1" x14ac:dyDescent="0.2"/>
    <row r="710" spans="1:22" s="418" customFormat="1" ht="12" hidden="1" customHeight="1" x14ac:dyDescent="0.2">
      <c r="A710" s="417" t="s">
        <v>1062</v>
      </c>
      <c r="J710" s="55"/>
      <c r="K710" s="55"/>
      <c r="L710" s="55"/>
      <c r="M710" s="55"/>
      <c r="N710" s="55"/>
    </row>
    <row r="711" spans="1:22" s="418" customFormat="1" ht="12" hidden="1" customHeight="1" x14ac:dyDescent="0.2">
      <c r="A711" s="417" t="s">
        <v>1916</v>
      </c>
      <c r="F711" s="419"/>
      <c r="G711" s="419"/>
      <c r="H711" s="419"/>
      <c r="I711" s="419"/>
      <c r="J711" s="404"/>
      <c r="K711" s="404"/>
      <c r="L711" s="404"/>
      <c r="M711" s="404"/>
      <c r="N711" s="404"/>
      <c r="O711" s="419"/>
      <c r="P711" s="419"/>
      <c r="Q711" s="419"/>
      <c r="R711" s="419"/>
      <c r="S711" s="419"/>
      <c r="T711" s="420"/>
      <c r="U711" s="421"/>
    </row>
    <row r="712" spans="1:22" s="418" customFormat="1" ht="12" hidden="1" customHeight="1" x14ac:dyDescent="0.2">
      <c r="F712" s="419"/>
      <c r="G712" s="419"/>
      <c r="H712" s="419"/>
      <c r="I712" s="419"/>
      <c r="J712" s="404"/>
      <c r="K712" s="404"/>
      <c r="L712" s="404"/>
      <c r="M712" s="404"/>
      <c r="N712" s="404"/>
      <c r="O712" s="419"/>
      <c r="P712" s="419"/>
      <c r="Q712" s="419"/>
      <c r="R712" s="419"/>
      <c r="S712" s="419"/>
      <c r="T712" s="420"/>
      <c r="U712" s="421"/>
    </row>
    <row r="713" spans="1:22" s="418" customFormat="1" ht="12" hidden="1" customHeight="1" x14ac:dyDescent="0.2">
      <c r="A713" s="422" t="s">
        <v>1917</v>
      </c>
      <c r="F713" s="419">
        <f t="shared" ref="F713:R713" si="284">F809-F852+F820</f>
        <v>288851824.62405944</v>
      </c>
      <c r="G713" s="419">
        <f t="shared" si="284"/>
        <v>77564039.216988534</v>
      </c>
      <c r="H713" s="419">
        <f t="shared" si="284"/>
        <v>55506621.091949701</v>
      </c>
      <c r="I713" s="419">
        <f t="shared" si="284"/>
        <v>2641258.795773624</v>
      </c>
      <c r="J713" s="404">
        <f t="shared" si="284"/>
        <v>70438804.441352457</v>
      </c>
      <c r="K713" s="404">
        <f t="shared" si="284"/>
        <v>14438259.868899275</v>
      </c>
      <c r="L713" s="404">
        <f t="shared" si="284"/>
        <v>4515706.1939115794</v>
      </c>
      <c r="M713" s="404">
        <f t="shared" si="284"/>
        <v>38393817.174712986</v>
      </c>
      <c r="N713" s="404">
        <f t="shared" si="284"/>
        <v>16922235.230974954</v>
      </c>
      <c r="O713" s="419">
        <f t="shared" si="284"/>
        <v>-1666895.1709002287</v>
      </c>
      <c r="P713" s="419">
        <f t="shared" si="284"/>
        <v>10067984.457390755</v>
      </c>
      <c r="Q713" s="419">
        <f t="shared" si="284"/>
        <v>186.97970313901465</v>
      </c>
      <c r="R713" s="419">
        <f t="shared" si="284"/>
        <v>29806.401316555355</v>
      </c>
      <c r="S713" s="419"/>
      <c r="T713" s="419">
        <f>SUM(G713:S713)</f>
        <v>288851824.68207335</v>
      </c>
      <c r="U713" s="421" t="str">
        <f>IF(ABS(F713-T713)&lt;0.01,"ok","err")</f>
        <v>err</v>
      </c>
      <c r="V713" s="418">
        <f>IF(U713="err",T713-F713,"")</f>
        <v>5.8013916015625E-2</v>
      </c>
    </row>
    <row r="714" spans="1:22" s="418" customFormat="1" ht="12" hidden="1" customHeight="1" x14ac:dyDescent="0.2">
      <c r="F714" s="419"/>
      <c r="G714" s="419"/>
      <c r="H714" s="419"/>
      <c r="I714" s="419"/>
      <c r="J714" s="404"/>
      <c r="K714" s="404"/>
      <c r="L714" s="404"/>
      <c r="M714" s="404"/>
      <c r="N714" s="404"/>
      <c r="O714" s="419"/>
      <c r="P714" s="419"/>
      <c r="Q714" s="419"/>
      <c r="R714" s="419"/>
      <c r="S714" s="419"/>
      <c r="T714" s="420"/>
      <c r="U714" s="421"/>
    </row>
    <row r="715" spans="1:22" s="418" customFormat="1" ht="12" hidden="1" customHeight="1" x14ac:dyDescent="0.2">
      <c r="A715" s="417" t="s">
        <v>1909</v>
      </c>
      <c r="F715" s="419"/>
      <c r="G715" s="419"/>
      <c r="H715" s="419"/>
      <c r="I715" s="419"/>
      <c r="J715" s="404"/>
      <c r="K715" s="404"/>
      <c r="L715" s="404"/>
      <c r="M715" s="404"/>
      <c r="N715" s="404"/>
      <c r="O715" s="419"/>
      <c r="P715" s="419"/>
      <c r="Q715" s="419"/>
      <c r="R715" s="419"/>
      <c r="S715" s="419"/>
      <c r="T715" s="420"/>
      <c r="U715" s="421"/>
    </row>
    <row r="716" spans="1:22" s="418" customFormat="1" ht="12" hidden="1" customHeight="1" x14ac:dyDescent="0.2">
      <c r="A716" s="422" t="s">
        <v>1910</v>
      </c>
      <c r="E716" s="418" t="s">
        <v>514</v>
      </c>
      <c r="F716" s="419"/>
      <c r="G716" s="419"/>
      <c r="H716" s="419"/>
      <c r="I716" s="419"/>
      <c r="J716" s="404"/>
      <c r="K716" s="404"/>
      <c r="L716" s="404"/>
      <c r="M716" s="404"/>
      <c r="N716" s="404"/>
      <c r="O716" s="419"/>
      <c r="P716" s="419"/>
      <c r="Q716" s="419"/>
      <c r="R716" s="419"/>
      <c r="S716" s="419"/>
      <c r="T716" s="420"/>
      <c r="U716" s="421"/>
    </row>
    <row r="717" spans="1:22" s="418" customFormat="1" ht="12" hidden="1" customHeight="1" x14ac:dyDescent="0.2">
      <c r="A717" s="422" t="s">
        <v>1911</v>
      </c>
      <c r="E717" s="418" t="s">
        <v>519</v>
      </c>
      <c r="F717" s="419"/>
      <c r="G717" s="419"/>
      <c r="H717" s="419"/>
      <c r="I717" s="419"/>
      <c r="J717" s="404"/>
      <c r="K717" s="404"/>
      <c r="L717" s="404"/>
      <c r="M717" s="404"/>
      <c r="N717" s="404"/>
      <c r="O717" s="419"/>
      <c r="P717" s="419"/>
      <c r="Q717" s="419"/>
      <c r="R717" s="419"/>
      <c r="S717" s="419"/>
      <c r="T717" s="420"/>
      <c r="U717" s="421"/>
    </row>
    <row r="718" spans="1:22" s="418" customFormat="1" ht="12" hidden="1" customHeight="1" x14ac:dyDescent="0.2">
      <c r="A718" s="422" t="s">
        <v>221</v>
      </c>
      <c r="F718" s="419"/>
      <c r="G718" s="419"/>
      <c r="H718" s="419"/>
      <c r="I718" s="419"/>
      <c r="J718" s="404"/>
      <c r="K718" s="404"/>
      <c r="L718" s="404"/>
      <c r="M718" s="404"/>
      <c r="N718" s="404"/>
      <c r="O718" s="419"/>
      <c r="P718" s="419"/>
      <c r="Q718" s="419"/>
      <c r="R718" s="419"/>
      <c r="S718" s="419"/>
      <c r="T718" s="420"/>
      <c r="U718" s="421"/>
    </row>
    <row r="719" spans="1:22" s="418" customFormat="1" ht="12" hidden="1" customHeight="1" x14ac:dyDescent="0.2">
      <c r="A719" s="422" t="s">
        <v>222</v>
      </c>
      <c r="F719" s="419"/>
      <c r="G719" s="419"/>
      <c r="H719" s="419"/>
      <c r="I719" s="419"/>
      <c r="J719" s="404"/>
      <c r="K719" s="404"/>
      <c r="L719" s="404"/>
      <c r="M719" s="404"/>
      <c r="N719" s="404"/>
      <c r="O719" s="419"/>
      <c r="P719" s="419"/>
      <c r="Q719" s="419"/>
      <c r="R719" s="419"/>
      <c r="S719" s="419"/>
      <c r="T719" s="420"/>
      <c r="U719" s="421"/>
    </row>
    <row r="720" spans="1:22" s="418" customFormat="1" ht="12" hidden="1" customHeight="1" x14ac:dyDescent="0.2">
      <c r="A720" s="422" t="s">
        <v>223</v>
      </c>
      <c r="F720" s="423"/>
      <c r="G720" s="423"/>
      <c r="H720" s="423"/>
      <c r="I720" s="423"/>
      <c r="J720" s="424"/>
      <c r="K720" s="424"/>
      <c r="L720" s="424"/>
      <c r="M720" s="424"/>
      <c r="N720" s="424"/>
      <c r="O720" s="423"/>
      <c r="P720" s="423"/>
      <c r="Q720" s="423"/>
      <c r="R720" s="423"/>
      <c r="S720" s="423"/>
      <c r="T720" s="425"/>
      <c r="U720" s="421"/>
    </row>
    <row r="721" spans="1:21" s="418" customFormat="1" ht="12" hidden="1" customHeight="1" x14ac:dyDescent="0.2">
      <c r="A721" s="418" t="s">
        <v>224</v>
      </c>
      <c r="F721" s="426">
        <f t="shared" ref="F721:T721" si="285">SUM(F716:F720)</f>
        <v>0</v>
      </c>
      <c r="G721" s="426">
        <f t="shared" si="285"/>
        <v>0</v>
      </c>
      <c r="H721" s="426">
        <f t="shared" si="285"/>
        <v>0</v>
      </c>
      <c r="I721" s="426">
        <f>SUM(I716:I720)</f>
        <v>0</v>
      </c>
      <c r="J721" s="427">
        <f t="shared" si="285"/>
        <v>0</v>
      </c>
      <c r="K721" s="427">
        <f t="shared" si="285"/>
        <v>0</v>
      </c>
      <c r="L721" s="427">
        <f t="shared" si="285"/>
        <v>0</v>
      </c>
      <c r="M721" s="427">
        <f t="shared" si="285"/>
        <v>0</v>
      </c>
      <c r="N721" s="427">
        <f>SUM(N716:N720)</f>
        <v>0</v>
      </c>
      <c r="O721" s="426">
        <f t="shared" si="285"/>
        <v>0</v>
      </c>
      <c r="P721" s="426">
        <f t="shared" si="285"/>
        <v>0</v>
      </c>
      <c r="Q721" s="426">
        <f t="shared" si="285"/>
        <v>0</v>
      </c>
      <c r="R721" s="426">
        <f t="shared" si="285"/>
        <v>0</v>
      </c>
      <c r="S721" s="426"/>
      <c r="T721" s="426">
        <f t="shared" si="285"/>
        <v>0</v>
      </c>
      <c r="U721" s="421" t="str">
        <f>IF(ABS(F721-T721)&lt;0.01,"ok","err")</f>
        <v>ok</v>
      </c>
    </row>
    <row r="722" spans="1:21" s="418" customFormat="1" ht="12" hidden="1" customHeight="1" x14ac:dyDescent="0.2">
      <c r="F722" s="419"/>
      <c r="G722" s="419"/>
      <c r="H722" s="419"/>
      <c r="I722" s="419"/>
      <c r="J722" s="404"/>
      <c r="K722" s="404"/>
      <c r="L722" s="404"/>
      <c r="M722" s="404"/>
      <c r="N722" s="404"/>
      <c r="O722" s="419"/>
      <c r="P722" s="419"/>
      <c r="Q722" s="419"/>
      <c r="R722" s="419"/>
      <c r="S722" s="419"/>
      <c r="T722" s="420"/>
      <c r="U722" s="421"/>
    </row>
    <row r="723" spans="1:21" s="418" customFormat="1" ht="12" hidden="1" customHeight="1" x14ac:dyDescent="0.2">
      <c r="A723" s="418" t="s">
        <v>701</v>
      </c>
      <c r="D723" s="418" t="s">
        <v>705</v>
      </c>
      <c r="F723" s="419">
        <f>F713+F721</f>
        <v>288851824.62405944</v>
      </c>
      <c r="G723" s="419">
        <f t="shared" ref="G723:T723" si="286">G713+G721</f>
        <v>77564039.216988534</v>
      </c>
      <c r="H723" s="419">
        <f t="shared" si="286"/>
        <v>55506621.091949701</v>
      </c>
      <c r="I723" s="419">
        <f>I713+I721</f>
        <v>2641258.795773624</v>
      </c>
      <c r="J723" s="404">
        <f t="shared" si="286"/>
        <v>70438804.441352457</v>
      </c>
      <c r="K723" s="404">
        <f t="shared" si="286"/>
        <v>14438259.868899275</v>
      </c>
      <c r="L723" s="404">
        <f t="shared" si="286"/>
        <v>4515706.1939115794</v>
      </c>
      <c r="M723" s="404">
        <f>M713+M721</f>
        <v>38393817.174712986</v>
      </c>
      <c r="N723" s="404">
        <f>N713+N721</f>
        <v>16922235.230974954</v>
      </c>
      <c r="O723" s="419">
        <f t="shared" si="286"/>
        <v>-1666895.1709002287</v>
      </c>
      <c r="P723" s="419">
        <f t="shared" si="286"/>
        <v>10067984.457390755</v>
      </c>
      <c r="Q723" s="419">
        <f t="shared" si="286"/>
        <v>186.97970313901465</v>
      </c>
      <c r="R723" s="419">
        <f t="shared" si="286"/>
        <v>29806.401316555355</v>
      </c>
      <c r="S723" s="419"/>
      <c r="T723" s="419">
        <f t="shared" si="286"/>
        <v>288851824.68207335</v>
      </c>
      <c r="U723" s="421" t="str">
        <f>IF(ABS(F723-T723)&lt;0.01,"ok","err")</f>
        <v>err</v>
      </c>
    </row>
    <row r="724" spans="1:21" s="418" customFormat="1" ht="12" hidden="1" customHeight="1" x14ac:dyDescent="0.2">
      <c r="F724" s="419"/>
      <c r="G724" s="419"/>
      <c r="H724" s="419"/>
      <c r="I724" s="419"/>
      <c r="J724" s="404"/>
      <c r="K724" s="404"/>
      <c r="L724" s="404"/>
      <c r="M724" s="404"/>
      <c r="N724" s="404"/>
      <c r="O724" s="419"/>
      <c r="P724" s="419"/>
      <c r="Q724" s="419"/>
      <c r="R724" s="419"/>
      <c r="S724" s="419"/>
      <c r="T724" s="420"/>
      <c r="U724" s="421"/>
    </row>
    <row r="725" spans="1:21" s="418" customFormat="1" ht="12" hidden="1" customHeight="1" x14ac:dyDescent="0.2">
      <c r="A725" s="418" t="s">
        <v>702</v>
      </c>
      <c r="D725" s="418" t="s">
        <v>706</v>
      </c>
      <c r="F725" s="428">
        <v>4.4999999999999998E-2</v>
      </c>
      <c r="G725" s="428">
        <f>F725</f>
        <v>4.4999999999999998E-2</v>
      </c>
      <c r="H725" s="428" t="e">
        <f>#REF!</f>
        <v>#REF!</v>
      </c>
      <c r="I725" s="428" t="e">
        <f>#REF!</f>
        <v>#REF!</v>
      </c>
      <c r="J725" s="407" t="e">
        <f>#REF!</f>
        <v>#REF!</v>
      </c>
      <c r="K725" s="407" t="e">
        <f>J725</f>
        <v>#REF!</v>
      </c>
      <c r="L725" s="407" t="e">
        <f>K725</f>
        <v>#REF!</v>
      </c>
      <c r="M725" s="407" t="e">
        <f>#REF!</f>
        <v>#REF!</v>
      </c>
      <c r="N725" s="407" t="e">
        <f>#REF!</f>
        <v>#REF!</v>
      </c>
      <c r="O725" s="428" t="e">
        <f>#REF!</f>
        <v>#REF!</v>
      </c>
      <c r="P725" s="428" t="e">
        <f>O725</f>
        <v>#REF!</v>
      </c>
      <c r="Q725" s="428" t="e">
        <f>P725</f>
        <v>#REF!</v>
      </c>
      <c r="R725" s="428" t="e">
        <f>Q725</f>
        <v>#REF!</v>
      </c>
      <c r="S725" s="428"/>
      <c r="T725" s="428" t="e">
        <f>R725</f>
        <v>#REF!</v>
      </c>
      <c r="U725" s="421"/>
    </row>
    <row r="726" spans="1:21" s="418" customFormat="1" ht="12" hidden="1" customHeight="1" x14ac:dyDescent="0.2">
      <c r="F726" s="419"/>
      <c r="G726" s="419"/>
      <c r="H726" s="419"/>
      <c r="I726" s="419"/>
      <c r="J726" s="404"/>
      <c r="K726" s="404"/>
      <c r="L726" s="404"/>
      <c r="M726" s="404"/>
      <c r="N726" s="404"/>
      <c r="O726" s="419"/>
      <c r="P726" s="419"/>
      <c r="Q726" s="419"/>
      <c r="R726" s="419"/>
      <c r="S726" s="419"/>
      <c r="T726" s="420"/>
      <c r="U726" s="421"/>
    </row>
    <row r="727" spans="1:21" s="418" customFormat="1" ht="12" hidden="1" customHeight="1" x14ac:dyDescent="0.2">
      <c r="A727" s="418" t="s">
        <v>703</v>
      </c>
      <c r="F727" s="419">
        <f>F723*F725</f>
        <v>12998332.108082674</v>
      </c>
      <c r="G727" s="419">
        <f t="shared" ref="G727:T727" si="287">G723*G725</f>
        <v>3490381.764764484</v>
      </c>
      <c r="H727" s="419" t="e">
        <f t="shared" si="287"/>
        <v>#REF!</v>
      </c>
      <c r="I727" s="419" t="e">
        <f>I723*I725</f>
        <v>#REF!</v>
      </c>
      <c r="J727" s="404" t="e">
        <f t="shared" si="287"/>
        <v>#REF!</v>
      </c>
      <c r="K727" s="404" t="e">
        <f t="shared" si="287"/>
        <v>#REF!</v>
      </c>
      <c r="L727" s="404" t="e">
        <f t="shared" si="287"/>
        <v>#REF!</v>
      </c>
      <c r="M727" s="404" t="e">
        <f>M723*M725</f>
        <v>#REF!</v>
      </c>
      <c r="N727" s="404" t="e">
        <f>N723*N725</f>
        <v>#REF!</v>
      </c>
      <c r="O727" s="419" t="e">
        <f t="shared" si="287"/>
        <v>#REF!</v>
      </c>
      <c r="P727" s="419" t="e">
        <f t="shared" si="287"/>
        <v>#REF!</v>
      </c>
      <c r="Q727" s="419" t="e">
        <f t="shared" si="287"/>
        <v>#REF!</v>
      </c>
      <c r="R727" s="419" t="e">
        <f t="shared" si="287"/>
        <v>#REF!</v>
      </c>
      <c r="S727" s="419"/>
      <c r="T727" s="419" t="e">
        <f t="shared" si="287"/>
        <v>#REF!</v>
      </c>
      <c r="U727" s="421" t="e">
        <f>IF(ABS(F727-T727)&lt;0.01,"ok","err")</f>
        <v>#REF!</v>
      </c>
    </row>
    <row r="728" spans="1:21" s="418" customFormat="1" ht="12" hidden="1" customHeight="1" x14ac:dyDescent="0.2">
      <c r="F728" s="419"/>
      <c r="G728" s="419"/>
      <c r="H728" s="419"/>
      <c r="I728" s="419"/>
      <c r="J728" s="404"/>
      <c r="K728" s="404"/>
      <c r="L728" s="404"/>
      <c r="M728" s="404"/>
      <c r="N728" s="404"/>
      <c r="O728" s="419"/>
      <c r="P728" s="419"/>
      <c r="Q728" s="419"/>
      <c r="R728" s="419"/>
      <c r="S728" s="419"/>
      <c r="T728" s="420"/>
      <c r="U728" s="421"/>
    </row>
    <row r="729" spans="1:21" s="418" customFormat="1" ht="12" hidden="1" customHeight="1" x14ac:dyDescent="0.2">
      <c r="A729" s="418" t="s">
        <v>704</v>
      </c>
      <c r="E729" s="418" t="s">
        <v>705</v>
      </c>
      <c r="F729" s="419">
        <v>1200</v>
      </c>
      <c r="G729" s="419">
        <f t="shared" ref="G729:R729" si="288">IF(VLOOKUP($E729,$D$5:$AH$1237,3,)=0,0,(VLOOKUP($E729,$D$5:$AH$1237,G$1,)/VLOOKUP($E729,$D$5:$AH$1237,3,))*$F729)</f>
        <v>322.23042794182004</v>
      </c>
      <c r="H729" s="419">
        <f t="shared" si="288"/>
        <v>230.59554980145916</v>
      </c>
      <c r="I729" s="419">
        <f t="shared" si="288"/>
        <v>10.972790492334489</v>
      </c>
      <c r="J729" s="404">
        <f t="shared" si="288"/>
        <v>292.62950109328284</v>
      </c>
      <c r="K729" s="404">
        <f t="shared" si="288"/>
        <v>59.982005878719299</v>
      </c>
      <c r="L729" s="404">
        <f t="shared" si="288"/>
        <v>18.759955696130788</v>
      </c>
      <c r="M729" s="404">
        <f t="shared" si="288"/>
        <v>159.50247387088183</v>
      </c>
      <c r="N729" s="404">
        <f t="shared" si="288"/>
        <v>70.301381352183199</v>
      </c>
      <c r="O729" s="419">
        <f t="shared" si="288"/>
        <v>-6.9249145567407462</v>
      </c>
      <c r="P729" s="419">
        <f t="shared" si="288"/>
        <v>41.826224793951297</v>
      </c>
      <c r="Q729" s="419">
        <f t="shared" si="288"/>
        <v>7.7678458171016364E-4</v>
      </c>
      <c r="R729" s="419">
        <f t="shared" si="288"/>
        <v>0.12382709240773553</v>
      </c>
      <c r="S729" s="419"/>
      <c r="T729" s="420">
        <f>SUM(G729:R729)</f>
        <v>1200.0000002410113</v>
      </c>
      <c r="U729" s="421" t="str">
        <f>IF(ABS(F729-T729)&lt;0.01,"ok","err")</f>
        <v>ok</v>
      </c>
    </row>
    <row r="730" spans="1:21" s="418" customFormat="1" ht="12" hidden="1" customHeight="1" x14ac:dyDescent="0.2">
      <c r="F730" s="419"/>
      <c r="G730" s="419"/>
      <c r="H730" s="419"/>
      <c r="I730" s="419"/>
      <c r="J730" s="404"/>
      <c r="K730" s="404"/>
      <c r="L730" s="404"/>
      <c r="M730" s="404"/>
      <c r="N730" s="404"/>
      <c r="O730" s="419"/>
      <c r="P730" s="419"/>
      <c r="Q730" s="419"/>
      <c r="R730" s="419"/>
      <c r="S730" s="419"/>
      <c r="T730" s="420"/>
      <c r="U730" s="421"/>
    </row>
    <row r="731" spans="1:21" s="418" customFormat="1" ht="12" hidden="1" customHeight="1" x14ac:dyDescent="0.2">
      <c r="A731" s="418" t="s">
        <v>707</v>
      </c>
      <c r="D731" s="418" t="s">
        <v>708</v>
      </c>
      <c r="F731" s="419">
        <f>F727-F729</f>
        <v>12997132.108082674</v>
      </c>
      <c r="G731" s="419">
        <f t="shared" ref="G731:T731" si="289">G727-G729</f>
        <v>3490059.5343365422</v>
      </c>
      <c r="H731" s="419" t="e">
        <f t="shared" si="289"/>
        <v>#REF!</v>
      </c>
      <c r="I731" s="419" t="e">
        <f>I727-I729</f>
        <v>#REF!</v>
      </c>
      <c r="J731" s="404" t="e">
        <f t="shared" si="289"/>
        <v>#REF!</v>
      </c>
      <c r="K731" s="404" t="e">
        <f t="shared" si="289"/>
        <v>#REF!</v>
      </c>
      <c r="L731" s="404" t="e">
        <f t="shared" si="289"/>
        <v>#REF!</v>
      </c>
      <c r="M731" s="404" t="e">
        <f>M727-M729</f>
        <v>#REF!</v>
      </c>
      <c r="N731" s="404" t="e">
        <f>N727-N729</f>
        <v>#REF!</v>
      </c>
      <c r="O731" s="419" t="e">
        <f t="shared" si="289"/>
        <v>#REF!</v>
      </c>
      <c r="P731" s="419" t="e">
        <f t="shared" si="289"/>
        <v>#REF!</v>
      </c>
      <c r="Q731" s="419" t="e">
        <f t="shared" si="289"/>
        <v>#REF!</v>
      </c>
      <c r="R731" s="419" t="e">
        <f t="shared" si="289"/>
        <v>#REF!</v>
      </c>
      <c r="S731" s="419"/>
      <c r="T731" s="419" t="e">
        <f t="shared" si="289"/>
        <v>#REF!</v>
      </c>
      <c r="U731" s="421" t="e">
        <f>IF(ABS(F731-T731)&lt;0.01,"ok","err")</f>
        <v>#REF!</v>
      </c>
    </row>
    <row r="732" spans="1:21" s="418" customFormat="1" ht="12" hidden="1" customHeight="1" x14ac:dyDescent="0.2">
      <c r="J732" s="55"/>
      <c r="K732" s="55"/>
      <c r="L732" s="55"/>
      <c r="M732" s="55"/>
      <c r="N732" s="55"/>
    </row>
    <row r="733" spans="1:21" s="418" customFormat="1" ht="12" hidden="1" customHeight="1" x14ac:dyDescent="0.2">
      <c r="J733" s="55"/>
      <c r="K733" s="55"/>
      <c r="L733" s="55"/>
      <c r="M733" s="55"/>
      <c r="N733" s="55"/>
    </row>
    <row r="734" spans="1:21" s="418" customFormat="1" ht="12" hidden="1" customHeight="1" x14ac:dyDescent="0.2">
      <c r="J734" s="55"/>
      <c r="K734" s="55"/>
      <c r="L734" s="55"/>
      <c r="M734" s="55"/>
      <c r="N734" s="55"/>
    </row>
    <row r="735" spans="1:21" s="418" customFormat="1" ht="12" hidden="1" customHeight="1" x14ac:dyDescent="0.2">
      <c r="J735" s="55"/>
      <c r="K735" s="55"/>
      <c r="L735" s="55"/>
      <c r="M735" s="55"/>
      <c r="N735" s="55"/>
    </row>
    <row r="736" spans="1:21" s="418" customFormat="1" ht="12" hidden="1" customHeight="1" x14ac:dyDescent="0.2">
      <c r="J736" s="55"/>
      <c r="K736" s="55"/>
      <c r="L736" s="55"/>
      <c r="M736" s="55"/>
      <c r="N736" s="55"/>
    </row>
    <row r="737" spans="1:21" s="418" customFormat="1" ht="12" hidden="1" customHeight="1" x14ac:dyDescent="0.2">
      <c r="J737" s="55"/>
      <c r="K737" s="55"/>
      <c r="L737" s="55"/>
      <c r="M737" s="55"/>
      <c r="N737" s="55"/>
    </row>
    <row r="738" spans="1:21" s="418" customFormat="1" ht="12" hidden="1" customHeight="1" x14ac:dyDescent="0.2">
      <c r="J738" s="55"/>
      <c r="K738" s="55"/>
      <c r="L738" s="55"/>
      <c r="M738" s="55"/>
      <c r="N738" s="55"/>
    </row>
    <row r="739" spans="1:21" s="418" customFormat="1" ht="12" hidden="1" customHeight="1" x14ac:dyDescent="0.2">
      <c r="J739" s="55"/>
      <c r="K739" s="55"/>
      <c r="L739" s="55"/>
      <c r="M739" s="55"/>
      <c r="N739" s="55"/>
    </row>
    <row r="740" spans="1:21" s="418" customFormat="1" ht="12" hidden="1" customHeight="1" x14ac:dyDescent="0.2">
      <c r="J740" s="55"/>
      <c r="K740" s="55"/>
      <c r="L740" s="55"/>
      <c r="M740" s="55"/>
      <c r="N740" s="55"/>
    </row>
    <row r="741" spans="1:21" s="418" customFormat="1" ht="12" hidden="1" customHeight="1" x14ac:dyDescent="0.2">
      <c r="J741" s="55"/>
      <c r="K741" s="55"/>
      <c r="L741" s="55"/>
      <c r="M741" s="55"/>
      <c r="N741" s="55"/>
    </row>
    <row r="742" spans="1:21" s="418" customFormat="1" ht="12" hidden="1" customHeight="1" x14ac:dyDescent="0.2">
      <c r="J742" s="55"/>
      <c r="K742" s="55"/>
      <c r="L742" s="55"/>
      <c r="M742" s="55"/>
      <c r="N742" s="55"/>
    </row>
    <row r="743" spans="1:21" s="418" customFormat="1" ht="12" hidden="1" customHeight="1" x14ac:dyDescent="0.2">
      <c r="J743" s="55"/>
      <c r="K743" s="55"/>
      <c r="L743" s="55"/>
      <c r="M743" s="55"/>
      <c r="N743" s="55"/>
    </row>
    <row r="744" spans="1:21" s="418" customFormat="1" ht="12" hidden="1" customHeight="1" x14ac:dyDescent="0.2">
      <c r="J744" s="55"/>
      <c r="K744" s="55"/>
      <c r="L744" s="55"/>
      <c r="M744" s="55"/>
      <c r="N744" s="55"/>
    </row>
    <row r="745" spans="1:21" s="418" customFormat="1" ht="12" hidden="1" customHeight="1" x14ac:dyDescent="0.2">
      <c r="J745" s="55"/>
      <c r="K745" s="55"/>
      <c r="L745" s="55"/>
      <c r="M745" s="55"/>
      <c r="N745" s="55"/>
    </row>
    <row r="746" spans="1:21" s="418" customFormat="1" ht="12" hidden="1" customHeight="1" x14ac:dyDescent="0.2">
      <c r="J746" s="55"/>
      <c r="K746" s="55"/>
      <c r="L746" s="55"/>
      <c r="M746" s="55"/>
      <c r="N746" s="55"/>
    </row>
    <row r="747" spans="1:21" s="418" customFormat="1" ht="12" hidden="1" customHeight="1" x14ac:dyDescent="0.2">
      <c r="J747" s="55"/>
      <c r="K747" s="55"/>
      <c r="L747" s="55"/>
      <c r="M747" s="55"/>
      <c r="N747" s="55"/>
    </row>
    <row r="748" spans="1:21" s="418" customFormat="1" ht="12" hidden="1" customHeight="1" x14ac:dyDescent="0.2">
      <c r="A748" s="417" t="s">
        <v>1918</v>
      </c>
      <c r="F748" s="419"/>
      <c r="G748" s="419"/>
      <c r="H748" s="419"/>
      <c r="I748" s="419"/>
      <c r="J748" s="404"/>
      <c r="K748" s="404"/>
      <c r="L748" s="404"/>
      <c r="M748" s="404"/>
      <c r="N748" s="404"/>
      <c r="O748" s="419"/>
      <c r="P748" s="419"/>
      <c r="Q748" s="419"/>
      <c r="R748" s="419"/>
      <c r="S748" s="419"/>
      <c r="T748" s="420"/>
      <c r="U748" s="421"/>
    </row>
    <row r="749" spans="1:21" s="418" customFormat="1" ht="12" hidden="1" customHeight="1" x14ac:dyDescent="0.2">
      <c r="F749" s="419"/>
      <c r="G749" s="419"/>
      <c r="H749" s="419"/>
      <c r="I749" s="419"/>
      <c r="J749" s="404"/>
      <c r="K749" s="404"/>
      <c r="L749" s="404"/>
      <c r="M749" s="404"/>
      <c r="N749" s="404"/>
      <c r="O749" s="419"/>
      <c r="P749" s="419"/>
      <c r="Q749" s="419"/>
      <c r="R749" s="419"/>
      <c r="S749" s="419"/>
      <c r="T749" s="420"/>
      <c r="U749" s="421"/>
    </row>
    <row r="750" spans="1:21" s="418" customFormat="1" ht="12" hidden="1" customHeight="1" x14ac:dyDescent="0.2">
      <c r="A750" s="422" t="s">
        <v>1908</v>
      </c>
      <c r="F750" s="419">
        <f>F713</f>
        <v>288851824.62405944</v>
      </c>
      <c r="G750" s="419">
        <f t="shared" ref="G750:R750" si="290">G713</f>
        <v>77564039.216988534</v>
      </c>
      <c r="H750" s="419">
        <f t="shared" si="290"/>
        <v>55506621.091949701</v>
      </c>
      <c r="I750" s="419">
        <f>I713</f>
        <v>2641258.795773624</v>
      </c>
      <c r="J750" s="404">
        <f t="shared" si="290"/>
        <v>70438804.441352457</v>
      </c>
      <c r="K750" s="404">
        <f t="shared" si="290"/>
        <v>14438259.868899275</v>
      </c>
      <c r="L750" s="404">
        <f t="shared" si="290"/>
        <v>4515706.1939115794</v>
      </c>
      <c r="M750" s="404">
        <f>M713</f>
        <v>38393817.174712986</v>
      </c>
      <c r="N750" s="404">
        <f>N713</f>
        <v>16922235.230974954</v>
      </c>
      <c r="O750" s="419">
        <f t="shared" si="290"/>
        <v>-1666895.1709002287</v>
      </c>
      <c r="P750" s="419">
        <f t="shared" si="290"/>
        <v>10067984.457390755</v>
      </c>
      <c r="Q750" s="419">
        <f t="shared" si="290"/>
        <v>186.97970313901465</v>
      </c>
      <c r="R750" s="419">
        <f t="shared" si="290"/>
        <v>29806.401316555355</v>
      </c>
      <c r="S750" s="419"/>
      <c r="T750" s="420">
        <f>SUM(G750:R750)</f>
        <v>288851824.68207335</v>
      </c>
      <c r="U750" s="421" t="str">
        <f>IF(ABS(F750-T750)&lt;0.01,"ok","err")</f>
        <v>err</v>
      </c>
    </row>
    <row r="751" spans="1:21" s="418" customFormat="1" ht="12" hidden="1" customHeight="1" x14ac:dyDescent="0.2">
      <c r="F751" s="419"/>
      <c r="G751" s="419"/>
      <c r="H751" s="419"/>
      <c r="I751" s="419"/>
      <c r="J751" s="404"/>
      <c r="K751" s="404"/>
      <c r="L751" s="404"/>
      <c r="M751" s="404"/>
      <c r="N751" s="404"/>
      <c r="O751" s="419"/>
      <c r="P751" s="419"/>
      <c r="Q751" s="419"/>
      <c r="R751" s="419"/>
      <c r="S751" s="419"/>
      <c r="T751" s="420"/>
      <c r="U751" s="421"/>
    </row>
    <row r="752" spans="1:21" s="418" customFormat="1" ht="12" hidden="1" customHeight="1" x14ac:dyDescent="0.2">
      <c r="A752" s="417" t="s">
        <v>1909</v>
      </c>
      <c r="F752" s="419"/>
      <c r="G752" s="419"/>
      <c r="H752" s="419"/>
      <c r="I752" s="419"/>
      <c r="J752" s="404"/>
      <c r="K752" s="404"/>
      <c r="L752" s="404"/>
      <c r="M752" s="404"/>
      <c r="N752" s="404"/>
      <c r="O752" s="419"/>
      <c r="P752" s="419"/>
      <c r="Q752" s="419"/>
      <c r="R752" s="419"/>
      <c r="S752" s="419"/>
      <c r="T752" s="420"/>
      <c r="U752" s="421"/>
    </row>
    <row r="753" spans="1:21" s="418" customFormat="1" ht="12" hidden="1" customHeight="1" x14ac:dyDescent="0.2">
      <c r="A753" s="422" t="s">
        <v>1910</v>
      </c>
      <c r="E753" s="418" t="s">
        <v>514</v>
      </c>
      <c r="F753" s="419"/>
      <c r="G753" s="419"/>
      <c r="H753" s="419"/>
      <c r="I753" s="419"/>
      <c r="J753" s="404"/>
      <c r="K753" s="404"/>
      <c r="L753" s="404"/>
      <c r="M753" s="404"/>
      <c r="N753" s="404"/>
      <c r="O753" s="419"/>
      <c r="P753" s="419"/>
      <c r="Q753" s="419"/>
      <c r="R753" s="419"/>
      <c r="S753" s="419"/>
      <c r="T753" s="420"/>
      <c r="U753" s="421"/>
    </row>
    <row r="754" spans="1:21" s="418" customFormat="1" ht="12" hidden="1" customHeight="1" x14ac:dyDescent="0.2">
      <c r="A754" s="422" t="s">
        <v>1911</v>
      </c>
      <c r="E754" s="418" t="s">
        <v>519</v>
      </c>
      <c r="F754" s="419"/>
      <c r="G754" s="419"/>
      <c r="H754" s="419"/>
      <c r="I754" s="419"/>
      <c r="J754" s="404"/>
      <c r="K754" s="404"/>
      <c r="L754" s="404"/>
      <c r="M754" s="404"/>
      <c r="N754" s="404"/>
      <c r="O754" s="419"/>
      <c r="P754" s="419"/>
      <c r="Q754" s="419"/>
      <c r="R754" s="419"/>
      <c r="S754" s="419"/>
      <c r="T754" s="420"/>
      <c r="U754" s="421"/>
    </row>
    <row r="755" spans="1:21" s="418" customFormat="1" ht="12" hidden="1" customHeight="1" x14ac:dyDescent="0.2">
      <c r="A755" s="422" t="s">
        <v>221</v>
      </c>
      <c r="F755" s="419"/>
      <c r="G755" s="419"/>
      <c r="H755" s="419"/>
      <c r="I755" s="419"/>
      <c r="J755" s="404"/>
      <c r="K755" s="404"/>
      <c r="L755" s="404"/>
      <c r="M755" s="404"/>
      <c r="N755" s="404"/>
      <c r="O755" s="419"/>
      <c r="P755" s="419"/>
      <c r="Q755" s="419"/>
      <c r="R755" s="419"/>
      <c r="S755" s="419"/>
      <c r="T755" s="420"/>
      <c r="U755" s="421"/>
    </row>
    <row r="756" spans="1:21" s="418" customFormat="1" ht="12" hidden="1" customHeight="1" x14ac:dyDescent="0.2">
      <c r="A756" s="422" t="s">
        <v>222</v>
      </c>
      <c r="F756" s="419"/>
      <c r="G756" s="419"/>
      <c r="H756" s="419"/>
      <c r="I756" s="419"/>
      <c r="J756" s="404"/>
      <c r="K756" s="404"/>
      <c r="L756" s="404"/>
      <c r="M756" s="404"/>
      <c r="N756" s="404"/>
      <c r="O756" s="419"/>
      <c r="P756" s="419"/>
      <c r="Q756" s="419"/>
      <c r="R756" s="419"/>
      <c r="S756" s="419"/>
      <c r="T756" s="420"/>
      <c r="U756" s="421"/>
    </row>
    <row r="757" spans="1:21" s="418" customFormat="1" ht="12" hidden="1" customHeight="1" x14ac:dyDescent="0.2">
      <c r="A757" s="422" t="s">
        <v>223</v>
      </c>
      <c r="F757" s="426"/>
      <c r="G757" s="426"/>
      <c r="H757" s="426"/>
      <c r="I757" s="426"/>
      <c r="J757" s="427"/>
      <c r="K757" s="427"/>
      <c r="L757" s="427"/>
      <c r="M757" s="427"/>
      <c r="N757" s="427"/>
      <c r="O757" s="426"/>
      <c r="P757" s="426"/>
      <c r="Q757" s="426"/>
      <c r="R757" s="426"/>
      <c r="S757" s="426"/>
      <c r="T757" s="429"/>
      <c r="U757" s="421"/>
    </row>
    <row r="758" spans="1:21" s="418" customFormat="1" ht="12" hidden="1" customHeight="1" x14ac:dyDescent="0.2">
      <c r="A758" s="422" t="s">
        <v>709</v>
      </c>
      <c r="F758" s="423">
        <f>F731</f>
        <v>12997132.108082674</v>
      </c>
      <c r="G758" s="423">
        <f t="shared" ref="G758:T758" si="291">G731</f>
        <v>3490059.5343365422</v>
      </c>
      <c r="H758" s="423" t="e">
        <f t="shared" si="291"/>
        <v>#REF!</v>
      </c>
      <c r="I758" s="423" t="e">
        <f>I731</f>
        <v>#REF!</v>
      </c>
      <c r="J758" s="424" t="e">
        <f t="shared" si="291"/>
        <v>#REF!</v>
      </c>
      <c r="K758" s="424" t="e">
        <f t="shared" si="291"/>
        <v>#REF!</v>
      </c>
      <c r="L758" s="424" t="e">
        <f t="shared" si="291"/>
        <v>#REF!</v>
      </c>
      <c r="M758" s="424" t="e">
        <f>M731</f>
        <v>#REF!</v>
      </c>
      <c r="N758" s="424" t="e">
        <f>N731</f>
        <v>#REF!</v>
      </c>
      <c r="O758" s="423" t="e">
        <f t="shared" si="291"/>
        <v>#REF!</v>
      </c>
      <c r="P758" s="423" t="e">
        <f t="shared" si="291"/>
        <v>#REF!</v>
      </c>
      <c r="Q758" s="423" t="e">
        <f t="shared" si="291"/>
        <v>#REF!</v>
      </c>
      <c r="R758" s="423" t="e">
        <f t="shared" si="291"/>
        <v>#REF!</v>
      </c>
      <c r="S758" s="423"/>
      <c r="T758" s="423" t="e">
        <f t="shared" si="291"/>
        <v>#REF!</v>
      </c>
      <c r="U758" s="421" t="e">
        <f>IF(ABS(F758-T758)&lt;0.01,"ok","err")</f>
        <v>#REF!</v>
      </c>
    </row>
    <row r="759" spans="1:21" s="418" customFormat="1" ht="12" hidden="1" customHeight="1" x14ac:dyDescent="0.2">
      <c r="A759" s="418" t="s">
        <v>224</v>
      </c>
      <c r="F759" s="426">
        <f t="shared" ref="F759:T759" si="292">SUM(F753:F758)</f>
        <v>12997132.108082674</v>
      </c>
      <c r="G759" s="426">
        <f t="shared" si="292"/>
        <v>3490059.5343365422</v>
      </c>
      <c r="H759" s="426" t="e">
        <f t="shared" si="292"/>
        <v>#REF!</v>
      </c>
      <c r="I759" s="426" t="e">
        <f>SUM(I753:I758)</f>
        <v>#REF!</v>
      </c>
      <c r="J759" s="427" t="e">
        <f t="shared" si="292"/>
        <v>#REF!</v>
      </c>
      <c r="K759" s="427" t="e">
        <f t="shared" si="292"/>
        <v>#REF!</v>
      </c>
      <c r="L759" s="427" t="e">
        <f t="shared" si="292"/>
        <v>#REF!</v>
      </c>
      <c r="M759" s="427" t="e">
        <f t="shared" si="292"/>
        <v>#REF!</v>
      </c>
      <c r="N759" s="427" t="e">
        <f>SUM(N753:N758)</f>
        <v>#REF!</v>
      </c>
      <c r="O759" s="426" t="e">
        <f t="shared" si="292"/>
        <v>#REF!</v>
      </c>
      <c r="P759" s="426" t="e">
        <f t="shared" si="292"/>
        <v>#REF!</v>
      </c>
      <c r="Q759" s="426" t="e">
        <f t="shared" si="292"/>
        <v>#REF!</v>
      </c>
      <c r="R759" s="426" t="e">
        <f t="shared" si="292"/>
        <v>#REF!</v>
      </c>
      <c r="S759" s="426"/>
      <c r="T759" s="426" t="e">
        <f t="shared" si="292"/>
        <v>#REF!</v>
      </c>
      <c r="U759" s="421" t="e">
        <f>IF(ABS(F759-T759)&lt;0.01,"ok","err")</f>
        <v>#REF!</v>
      </c>
    </row>
    <row r="760" spans="1:21" s="418" customFormat="1" ht="12" hidden="1" customHeight="1" x14ac:dyDescent="0.2">
      <c r="F760" s="419"/>
      <c r="G760" s="419"/>
      <c r="H760" s="419"/>
      <c r="I760" s="419"/>
      <c r="J760" s="404"/>
      <c r="K760" s="404"/>
      <c r="L760" s="404"/>
      <c r="M760" s="404"/>
      <c r="N760" s="404"/>
      <c r="O760" s="419"/>
      <c r="P760" s="419"/>
      <c r="Q760" s="419"/>
      <c r="R760" s="419"/>
      <c r="S760" s="419"/>
      <c r="T760" s="420"/>
      <c r="U760" s="421"/>
    </row>
    <row r="761" spans="1:21" s="418" customFormat="1" ht="12" hidden="1" customHeight="1" x14ac:dyDescent="0.2">
      <c r="A761" s="418" t="s">
        <v>710</v>
      </c>
      <c r="D761" s="418" t="s">
        <v>705</v>
      </c>
      <c r="F761" s="419">
        <f>F750+F759</f>
        <v>301848956.73214209</v>
      </c>
      <c r="G761" s="419">
        <f t="shared" ref="G761:T761" si="293">G750+G759</f>
        <v>81054098.751325071</v>
      </c>
      <c r="H761" s="419" t="e">
        <f t="shared" si="293"/>
        <v>#REF!</v>
      </c>
      <c r="I761" s="419" t="e">
        <f>I750+I759</f>
        <v>#REF!</v>
      </c>
      <c r="J761" s="404" t="e">
        <f t="shared" si="293"/>
        <v>#REF!</v>
      </c>
      <c r="K761" s="404" t="e">
        <f t="shared" si="293"/>
        <v>#REF!</v>
      </c>
      <c r="L761" s="404" t="e">
        <f t="shared" si="293"/>
        <v>#REF!</v>
      </c>
      <c r="M761" s="404" t="e">
        <f>M750+M759</f>
        <v>#REF!</v>
      </c>
      <c r="N761" s="404" t="e">
        <f>N750+N759</f>
        <v>#REF!</v>
      </c>
      <c r="O761" s="419" t="e">
        <f t="shared" si="293"/>
        <v>#REF!</v>
      </c>
      <c r="P761" s="419" t="e">
        <f t="shared" si="293"/>
        <v>#REF!</v>
      </c>
      <c r="Q761" s="419" t="e">
        <f t="shared" si="293"/>
        <v>#REF!</v>
      </c>
      <c r="R761" s="419" t="e">
        <f t="shared" si="293"/>
        <v>#REF!</v>
      </c>
      <c r="S761" s="419"/>
      <c r="T761" s="419" t="e">
        <f t="shared" si="293"/>
        <v>#REF!</v>
      </c>
      <c r="U761" s="421" t="e">
        <f>IF(ABS(F761-T761)&lt;0.01,"ok","err")</f>
        <v>#REF!</v>
      </c>
    </row>
    <row r="762" spans="1:21" s="418" customFormat="1" ht="12" hidden="1" customHeight="1" x14ac:dyDescent="0.2">
      <c r="F762" s="419"/>
      <c r="G762" s="419"/>
      <c r="H762" s="419"/>
      <c r="I762" s="419"/>
      <c r="J762" s="404"/>
      <c r="K762" s="404"/>
      <c r="L762" s="404"/>
      <c r="M762" s="404"/>
      <c r="N762" s="404"/>
      <c r="O762" s="419"/>
      <c r="P762" s="419"/>
      <c r="Q762" s="419"/>
      <c r="R762" s="419"/>
      <c r="S762" s="419"/>
      <c r="T762" s="420"/>
      <c r="U762" s="421"/>
    </row>
    <row r="763" spans="1:21" s="418" customFormat="1" ht="12" hidden="1" customHeight="1" x14ac:dyDescent="0.2">
      <c r="A763" s="418" t="s">
        <v>711</v>
      </c>
      <c r="D763" s="418" t="s">
        <v>706</v>
      </c>
      <c r="F763" s="428">
        <v>0.35</v>
      </c>
      <c r="G763" s="428">
        <f>F763</f>
        <v>0.35</v>
      </c>
      <c r="H763" s="428" t="e">
        <f>#REF!</f>
        <v>#REF!</v>
      </c>
      <c r="I763" s="428" t="e">
        <f>#REF!</f>
        <v>#REF!</v>
      </c>
      <c r="J763" s="407" t="e">
        <f>#REF!</f>
        <v>#REF!</v>
      </c>
      <c r="K763" s="407" t="e">
        <f>J763</f>
        <v>#REF!</v>
      </c>
      <c r="L763" s="407" t="e">
        <f>K763</f>
        <v>#REF!</v>
      </c>
      <c r="M763" s="407" t="e">
        <f>#REF!</f>
        <v>#REF!</v>
      </c>
      <c r="N763" s="407" t="e">
        <f>#REF!</f>
        <v>#REF!</v>
      </c>
      <c r="O763" s="428" t="e">
        <f>#REF!</f>
        <v>#REF!</v>
      </c>
      <c r="P763" s="428" t="e">
        <f>O763</f>
        <v>#REF!</v>
      </c>
      <c r="Q763" s="428" t="e">
        <f>P763</f>
        <v>#REF!</v>
      </c>
      <c r="R763" s="428" t="e">
        <f>Q763</f>
        <v>#REF!</v>
      </c>
      <c r="S763" s="428"/>
      <c r="T763" s="428" t="e">
        <f>R763</f>
        <v>#REF!</v>
      </c>
      <c r="U763" s="421"/>
    </row>
    <row r="764" spans="1:21" s="418" customFormat="1" ht="12" hidden="1" customHeight="1" x14ac:dyDescent="0.2">
      <c r="F764" s="419"/>
      <c r="G764" s="419"/>
      <c r="H764" s="419"/>
      <c r="I764" s="419"/>
      <c r="J764" s="404"/>
      <c r="K764" s="404"/>
      <c r="L764" s="404"/>
      <c r="M764" s="404"/>
      <c r="N764" s="404"/>
      <c r="O764" s="419"/>
      <c r="P764" s="419"/>
      <c r="Q764" s="419"/>
      <c r="R764" s="419"/>
      <c r="S764" s="419"/>
      <c r="T764" s="420"/>
      <c r="U764" s="421"/>
    </row>
    <row r="765" spans="1:21" s="418" customFormat="1" ht="12" hidden="1" customHeight="1" x14ac:dyDescent="0.2">
      <c r="A765" s="418" t="s">
        <v>712</v>
      </c>
      <c r="F765" s="419">
        <f>F761*F763</f>
        <v>105647134.85624972</v>
      </c>
      <c r="G765" s="419">
        <f t="shared" ref="G765:T765" si="294">G761*G763</f>
        <v>28368934.562963773</v>
      </c>
      <c r="H765" s="419" t="e">
        <f t="shared" si="294"/>
        <v>#REF!</v>
      </c>
      <c r="I765" s="419" t="e">
        <f>I761*I763</f>
        <v>#REF!</v>
      </c>
      <c r="J765" s="404" t="e">
        <f t="shared" si="294"/>
        <v>#REF!</v>
      </c>
      <c r="K765" s="404" t="e">
        <f t="shared" si="294"/>
        <v>#REF!</v>
      </c>
      <c r="L765" s="404" t="e">
        <f t="shared" si="294"/>
        <v>#REF!</v>
      </c>
      <c r="M765" s="404" t="e">
        <f>M761*M763</f>
        <v>#REF!</v>
      </c>
      <c r="N765" s="404" t="e">
        <f>N761*N763</f>
        <v>#REF!</v>
      </c>
      <c r="O765" s="419" t="e">
        <f t="shared" si="294"/>
        <v>#REF!</v>
      </c>
      <c r="P765" s="419" t="e">
        <f t="shared" si="294"/>
        <v>#REF!</v>
      </c>
      <c r="Q765" s="419" t="e">
        <f t="shared" si="294"/>
        <v>#REF!</v>
      </c>
      <c r="R765" s="419" t="e">
        <f t="shared" si="294"/>
        <v>#REF!</v>
      </c>
      <c r="S765" s="419"/>
      <c r="T765" s="419" t="e">
        <f t="shared" si="294"/>
        <v>#REF!</v>
      </c>
      <c r="U765" s="421" t="e">
        <f>IF(ABS(F765-T765)&lt;0.01,"ok","err")</f>
        <v>#REF!</v>
      </c>
    </row>
    <row r="766" spans="1:21" s="418" customFormat="1" ht="12" hidden="1" customHeight="1" x14ac:dyDescent="0.2">
      <c r="F766" s="419"/>
      <c r="G766" s="419"/>
      <c r="H766" s="419"/>
      <c r="I766" s="419"/>
      <c r="J766" s="404"/>
      <c r="K766" s="404"/>
      <c r="L766" s="404"/>
      <c r="M766" s="404"/>
      <c r="N766" s="404"/>
      <c r="O766" s="419"/>
      <c r="P766" s="419"/>
      <c r="Q766" s="419"/>
      <c r="R766" s="419"/>
      <c r="S766" s="419"/>
      <c r="T766" s="420"/>
      <c r="U766" s="421"/>
    </row>
    <row r="767" spans="1:21" s="418" customFormat="1" ht="12" hidden="1" customHeight="1" x14ac:dyDescent="0.2">
      <c r="A767" s="418" t="s">
        <v>713</v>
      </c>
      <c r="E767" s="418" t="s">
        <v>705</v>
      </c>
      <c r="F767" s="419">
        <v>0</v>
      </c>
      <c r="G767" s="419">
        <f t="shared" ref="G767:R767" si="295">IF(VLOOKUP($E767,$D$5:$AH$1237,3,)=0,0,(VLOOKUP($E767,$D$5:$AH$1237,G$1,)/VLOOKUP($E767,$D$5:$AH$1237,3,))*$F767)</f>
        <v>0</v>
      </c>
      <c r="H767" s="419">
        <f t="shared" si="295"/>
        <v>0</v>
      </c>
      <c r="I767" s="419">
        <f t="shared" si="295"/>
        <v>0</v>
      </c>
      <c r="J767" s="404">
        <f t="shared" si="295"/>
        <v>0</v>
      </c>
      <c r="K767" s="404">
        <f t="shared" si="295"/>
        <v>0</v>
      </c>
      <c r="L767" s="404">
        <f t="shared" si="295"/>
        <v>0</v>
      </c>
      <c r="M767" s="404">
        <f t="shared" si="295"/>
        <v>0</v>
      </c>
      <c r="N767" s="404">
        <f t="shared" si="295"/>
        <v>0</v>
      </c>
      <c r="O767" s="419">
        <f t="shared" si="295"/>
        <v>0</v>
      </c>
      <c r="P767" s="419">
        <f t="shared" si="295"/>
        <v>0</v>
      </c>
      <c r="Q767" s="419">
        <f t="shared" si="295"/>
        <v>0</v>
      </c>
      <c r="R767" s="419">
        <f t="shared" si="295"/>
        <v>0</v>
      </c>
      <c r="S767" s="419"/>
      <c r="T767" s="420">
        <f>SUM(G767:R767)</f>
        <v>0</v>
      </c>
      <c r="U767" s="421" t="str">
        <f>IF(ABS(F767-T767)&lt;0.01,"ok","err")</f>
        <v>ok</v>
      </c>
    </row>
    <row r="768" spans="1:21" s="418" customFormat="1" ht="12" hidden="1" customHeight="1" x14ac:dyDescent="0.2">
      <c r="F768" s="419"/>
      <c r="G768" s="419"/>
      <c r="H768" s="419"/>
      <c r="I768" s="419"/>
      <c r="J768" s="404"/>
      <c r="K768" s="404"/>
      <c r="L768" s="404"/>
      <c r="M768" s="404"/>
      <c r="N768" s="404"/>
      <c r="O768" s="419"/>
      <c r="P768" s="419"/>
      <c r="Q768" s="419"/>
      <c r="R768" s="419"/>
      <c r="S768" s="419"/>
      <c r="T768" s="420"/>
      <c r="U768" s="421"/>
    </row>
    <row r="769" spans="1:21" s="418" customFormat="1" ht="12" hidden="1" customHeight="1" x14ac:dyDescent="0.2">
      <c r="A769" s="418" t="s">
        <v>714</v>
      </c>
      <c r="E769" s="418" t="s">
        <v>519</v>
      </c>
      <c r="F769" s="419">
        <v>1200</v>
      </c>
      <c r="G769" s="419" t="e">
        <f t="shared" ref="G769:R769" si="296">IF(VLOOKUP($E769,$D$5:$AH$1237,3,)=0,0,(VLOOKUP($E769,$D$5:$AH$1237,G$1,)/VLOOKUP($E769,$D$5:$AH$1237,3,))*$F769)</f>
        <v>#N/A</v>
      </c>
      <c r="H769" s="419" t="e">
        <f t="shared" si="296"/>
        <v>#N/A</v>
      </c>
      <c r="I769" s="419" t="e">
        <f t="shared" si="296"/>
        <v>#N/A</v>
      </c>
      <c r="J769" s="404" t="e">
        <f t="shared" si="296"/>
        <v>#N/A</v>
      </c>
      <c r="K769" s="404" t="e">
        <f t="shared" si="296"/>
        <v>#N/A</v>
      </c>
      <c r="L769" s="404" t="e">
        <f t="shared" si="296"/>
        <v>#N/A</v>
      </c>
      <c r="M769" s="404" t="e">
        <f t="shared" si="296"/>
        <v>#N/A</v>
      </c>
      <c r="N769" s="404" t="e">
        <f t="shared" si="296"/>
        <v>#N/A</v>
      </c>
      <c r="O769" s="419" t="e">
        <f t="shared" si="296"/>
        <v>#N/A</v>
      </c>
      <c r="P769" s="419" t="e">
        <f t="shared" si="296"/>
        <v>#N/A</v>
      </c>
      <c r="Q769" s="419" t="e">
        <f t="shared" si="296"/>
        <v>#N/A</v>
      </c>
      <c r="R769" s="419" t="e">
        <f t="shared" si="296"/>
        <v>#N/A</v>
      </c>
      <c r="S769" s="419"/>
      <c r="T769" s="420" t="e">
        <f>SUM(G769:R769)</f>
        <v>#N/A</v>
      </c>
      <c r="U769" s="421" t="e">
        <f>IF(ABS(F769-T769)&lt;0.01,"ok","err")</f>
        <v>#N/A</v>
      </c>
    </row>
    <row r="770" spans="1:21" s="418" customFormat="1" ht="12" hidden="1" customHeight="1" x14ac:dyDescent="0.2">
      <c r="F770" s="419"/>
      <c r="G770" s="419"/>
      <c r="H770" s="419"/>
      <c r="I770" s="419"/>
      <c r="J770" s="404"/>
      <c r="K770" s="404"/>
      <c r="L770" s="404"/>
      <c r="M770" s="404"/>
      <c r="N770" s="404"/>
      <c r="O770" s="419"/>
      <c r="P770" s="419"/>
      <c r="Q770" s="419"/>
      <c r="R770" s="419"/>
      <c r="S770" s="419"/>
      <c r="T770" s="420"/>
      <c r="U770" s="421"/>
    </row>
    <row r="771" spans="1:21" s="418" customFormat="1" ht="12" hidden="1" customHeight="1" x14ac:dyDescent="0.2">
      <c r="A771" s="418" t="s">
        <v>715</v>
      </c>
      <c r="E771" s="418" t="s">
        <v>519</v>
      </c>
      <c r="F771" s="419">
        <v>1200</v>
      </c>
      <c r="G771" s="419" t="e">
        <f t="shared" ref="G771:R771" si="297">IF(VLOOKUP($E771,$D$5:$AH$1237,3,)=0,0,(VLOOKUP($E771,$D$5:$AH$1237,G$1,)/VLOOKUP($E771,$D$5:$AH$1237,3,))*$F771)</f>
        <v>#N/A</v>
      </c>
      <c r="H771" s="419" t="e">
        <f t="shared" si="297"/>
        <v>#N/A</v>
      </c>
      <c r="I771" s="419" t="e">
        <f t="shared" si="297"/>
        <v>#N/A</v>
      </c>
      <c r="J771" s="404" t="e">
        <f t="shared" si="297"/>
        <v>#N/A</v>
      </c>
      <c r="K771" s="404" t="e">
        <f t="shared" si="297"/>
        <v>#N/A</v>
      </c>
      <c r="L771" s="404" t="e">
        <f t="shared" si="297"/>
        <v>#N/A</v>
      </c>
      <c r="M771" s="404" t="e">
        <f t="shared" si="297"/>
        <v>#N/A</v>
      </c>
      <c r="N771" s="404" t="e">
        <f t="shared" si="297"/>
        <v>#N/A</v>
      </c>
      <c r="O771" s="419" t="e">
        <f t="shared" si="297"/>
        <v>#N/A</v>
      </c>
      <c r="P771" s="419" t="e">
        <f t="shared" si="297"/>
        <v>#N/A</v>
      </c>
      <c r="Q771" s="419" t="e">
        <f t="shared" si="297"/>
        <v>#N/A</v>
      </c>
      <c r="R771" s="419" t="e">
        <f t="shared" si="297"/>
        <v>#N/A</v>
      </c>
      <c r="S771" s="419"/>
      <c r="T771" s="420" t="e">
        <f>SUM(G771:R771)</f>
        <v>#N/A</v>
      </c>
      <c r="U771" s="421" t="e">
        <f>IF(ABS(F771-T771)&lt;0.01,"ok","err")</f>
        <v>#N/A</v>
      </c>
    </row>
    <row r="772" spans="1:21" s="418" customFormat="1" ht="12" hidden="1" customHeight="1" x14ac:dyDescent="0.2">
      <c r="F772" s="419"/>
      <c r="G772" s="419"/>
      <c r="H772" s="419"/>
      <c r="I772" s="419"/>
      <c r="J772" s="404"/>
      <c r="K772" s="404"/>
      <c r="L772" s="404"/>
      <c r="M772" s="404"/>
      <c r="N772" s="404"/>
      <c r="O772" s="419"/>
      <c r="P772" s="419"/>
      <c r="Q772" s="419"/>
      <c r="R772" s="419"/>
      <c r="S772" s="419"/>
      <c r="T772" s="420"/>
      <c r="U772" s="421"/>
    </row>
    <row r="773" spans="1:21" s="418" customFormat="1" ht="12" hidden="1" customHeight="1" x14ac:dyDescent="0.2">
      <c r="A773" s="418" t="s">
        <v>1912</v>
      </c>
      <c r="D773" s="418" t="s">
        <v>708</v>
      </c>
      <c r="F773" s="419">
        <f>F765-F767-F769-F771</f>
        <v>105644734.85624972</v>
      </c>
      <c r="G773" s="419" t="e">
        <f t="shared" ref="G773:T773" si="298">G765-G767-G769-G771</f>
        <v>#N/A</v>
      </c>
      <c r="H773" s="419" t="e">
        <f t="shared" si="298"/>
        <v>#REF!</v>
      </c>
      <c r="I773" s="419" t="e">
        <f>I765-I767-I769-I771</f>
        <v>#REF!</v>
      </c>
      <c r="J773" s="404" t="e">
        <f t="shared" si="298"/>
        <v>#REF!</v>
      </c>
      <c r="K773" s="404" t="e">
        <f t="shared" si="298"/>
        <v>#REF!</v>
      </c>
      <c r="L773" s="404" t="e">
        <f t="shared" si="298"/>
        <v>#REF!</v>
      </c>
      <c r="M773" s="404" t="e">
        <f>M765-M767-M769-M771</f>
        <v>#REF!</v>
      </c>
      <c r="N773" s="404" t="e">
        <f>N765-N767-N769-N771</f>
        <v>#REF!</v>
      </c>
      <c r="O773" s="419" t="e">
        <f t="shared" si="298"/>
        <v>#REF!</v>
      </c>
      <c r="P773" s="419" t="e">
        <f t="shared" si="298"/>
        <v>#REF!</v>
      </c>
      <c r="Q773" s="419" t="e">
        <f t="shared" si="298"/>
        <v>#REF!</v>
      </c>
      <c r="R773" s="419" t="e">
        <f t="shared" si="298"/>
        <v>#REF!</v>
      </c>
      <c r="S773" s="419"/>
      <c r="T773" s="419" t="e">
        <f t="shared" si="298"/>
        <v>#REF!</v>
      </c>
      <c r="U773" s="421" t="e">
        <f>IF(ABS(F773-T773)&lt;0.01,"ok","err")</f>
        <v>#REF!</v>
      </c>
    </row>
    <row r="774" spans="1:21" s="418" customFormat="1" ht="12" hidden="1" customHeight="1" x14ac:dyDescent="0.2">
      <c r="F774" s="419"/>
      <c r="G774" s="419"/>
      <c r="H774" s="419"/>
      <c r="I774" s="419"/>
      <c r="J774" s="404"/>
      <c r="K774" s="404"/>
      <c r="L774" s="404"/>
      <c r="M774" s="404"/>
      <c r="N774" s="404"/>
      <c r="O774" s="419"/>
      <c r="P774" s="419"/>
      <c r="Q774" s="419"/>
      <c r="R774" s="419"/>
      <c r="S774" s="419"/>
      <c r="T774" s="420"/>
      <c r="U774" s="421"/>
    </row>
    <row r="775" spans="1:21" s="418" customFormat="1" ht="12" hidden="1" customHeight="1" x14ac:dyDescent="0.2">
      <c r="A775" s="418" t="s">
        <v>1913</v>
      </c>
      <c r="D775" s="418" t="s">
        <v>1914</v>
      </c>
      <c r="F775" s="419">
        <f>F731+F773</f>
        <v>118641866.9643324</v>
      </c>
      <c r="G775" s="419" t="e">
        <f t="shared" ref="G775:T775" si="299">G745+G773</f>
        <v>#N/A</v>
      </c>
      <c r="H775" s="419" t="e">
        <f t="shared" si="299"/>
        <v>#REF!</v>
      </c>
      <c r="I775" s="419" t="e">
        <f>I745+I773</f>
        <v>#REF!</v>
      </c>
      <c r="J775" s="404" t="e">
        <f t="shared" si="299"/>
        <v>#REF!</v>
      </c>
      <c r="K775" s="404" t="e">
        <f t="shared" si="299"/>
        <v>#REF!</v>
      </c>
      <c r="L775" s="404" t="e">
        <f t="shared" si="299"/>
        <v>#REF!</v>
      </c>
      <c r="M775" s="404" t="e">
        <f>M745+M773</f>
        <v>#REF!</v>
      </c>
      <c r="N775" s="404" t="e">
        <f>N745+N773</f>
        <v>#REF!</v>
      </c>
      <c r="O775" s="419" t="e">
        <f t="shared" si="299"/>
        <v>#REF!</v>
      </c>
      <c r="P775" s="419" t="e">
        <f t="shared" si="299"/>
        <v>#REF!</v>
      </c>
      <c r="Q775" s="419" t="e">
        <f t="shared" si="299"/>
        <v>#REF!</v>
      </c>
      <c r="R775" s="419" t="e">
        <f t="shared" si="299"/>
        <v>#REF!</v>
      </c>
      <c r="S775" s="419"/>
      <c r="T775" s="419" t="e">
        <f t="shared" si="299"/>
        <v>#REF!</v>
      </c>
      <c r="U775" s="421" t="e">
        <f>IF(ABS(F775-T775)&lt;0.01,"ok","err")</f>
        <v>#REF!</v>
      </c>
    </row>
    <row r="776" spans="1:21" s="418" customFormat="1" ht="12" hidden="1" customHeight="1" x14ac:dyDescent="0.2">
      <c r="F776" s="419"/>
      <c r="G776" s="419"/>
      <c r="H776" s="419"/>
      <c r="I776" s="419"/>
      <c r="J776" s="404"/>
      <c r="K776" s="404"/>
      <c r="L776" s="404"/>
      <c r="M776" s="404"/>
      <c r="N776" s="404"/>
      <c r="O776" s="419"/>
      <c r="P776" s="419"/>
      <c r="Q776" s="419"/>
      <c r="R776" s="419"/>
      <c r="S776" s="419"/>
      <c r="T776" s="420"/>
      <c r="U776" s="421"/>
    </row>
    <row r="777" spans="1:21" s="418" customFormat="1" ht="12" hidden="1" customHeight="1" x14ac:dyDescent="0.2">
      <c r="F777" s="419"/>
      <c r="G777" s="419"/>
      <c r="H777" s="419"/>
      <c r="I777" s="419"/>
      <c r="J777" s="404"/>
      <c r="K777" s="404"/>
      <c r="L777" s="404"/>
      <c r="M777" s="404"/>
      <c r="N777" s="404"/>
      <c r="O777" s="419"/>
      <c r="P777" s="419"/>
      <c r="Q777" s="419"/>
      <c r="R777" s="419"/>
      <c r="S777" s="419"/>
      <c r="T777" s="420"/>
      <c r="U777" s="421"/>
    </row>
    <row r="778" spans="1:21" s="418" customFormat="1" ht="12" hidden="1" customHeight="1" x14ac:dyDescent="0.2">
      <c r="F778" s="419"/>
      <c r="G778" s="419"/>
      <c r="H778" s="419"/>
      <c r="I778" s="419"/>
      <c r="J778" s="404"/>
      <c r="K778" s="404"/>
      <c r="L778" s="404"/>
      <c r="M778" s="404"/>
      <c r="N778" s="404"/>
      <c r="O778" s="419"/>
      <c r="P778" s="419"/>
      <c r="Q778" s="419"/>
      <c r="R778" s="419"/>
      <c r="S778" s="419"/>
      <c r="T778" s="420"/>
      <c r="U778" s="421"/>
    </row>
    <row r="779" spans="1:21" s="418" customFormat="1" ht="12" hidden="1" customHeight="1" x14ac:dyDescent="0.2">
      <c r="F779" s="419"/>
      <c r="G779" s="419"/>
      <c r="H779" s="419"/>
      <c r="I779" s="419"/>
      <c r="J779" s="404"/>
      <c r="K779" s="404"/>
      <c r="L779" s="404"/>
      <c r="M779" s="404"/>
      <c r="N779" s="404"/>
      <c r="O779" s="419"/>
      <c r="P779" s="419"/>
      <c r="Q779" s="419"/>
      <c r="R779" s="419"/>
      <c r="S779" s="419"/>
      <c r="T779" s="420"/>
      <c r="U779" s="421"/>
    </row>
    <row r="780" spans="1:21" s="418" customFormat="1" ht="12" hidden="1" customHeight="1" x14ac:dyDescent="0.2">
      <c r="F780" s="419"/>
      <c r="G780" s="419"/>
      <c r="H780" s="419"/>
      <c r="I780" s="419"/>
      <c r="J780" s="404"/>
      <c r="K780" s="404"/>
      <c r="L780" s="404"/>
      <c r="M780" s="404"/>
      <c r="N780" s="404"/>
      <c r="O780" s="419"/>
      <c r="P780" s="419"/>
      <c r="Q780" s="419"/>
      <c r="R780" s="419"/>
      <c r="S780" s="419"/>
      <c r="T780" s="420"/>
      <c r="U780" s="421"/>
    </row>
    <row r="781" spans="1:21" s="418" customFormat="1" ht="12" hidden="1" customHeight="1" x14ac:dyDescent="0.2">
      <c r="F781" s="419"/>
      <c r="G781" s="419"/>
      <c r="H781" s="419"/>
      <c r="I781" s="419"/>
      <c r="J781" s="404"/>
      <c r="K781" s="404"/>
      <c r="L781" s="404"/>
      <c r="M781" s="404"/>
      <c r="N781" s="404"/>
      <c r="O781" s="419"/>
      <c r="P781" s="419"/>
      <c r="Q781" s="419"/>
      <c r="R781" s="419"/>
      <c r="S781" s="419"/>
      <c r="T781" s="420"/>
      <c r="U781" s="421"/>
    </row>
    <row r="782" spans="1:21" s="418" customFormat="1" ht="12" hidden="1" customHeight="1" x14ac:dyDescent="0.2">
      <c r="F782" s="419"/>
      <c r="G782" s="419"/>
      <c r="H782" s="419"/>
      <c r="I782" s="419"/>
      <c r="J782" s="404"/>
      <c r="K782" s="404"/>
      <c r="L782" s="404"/>
      <c r="M782" s="404"/>
      <c r="N782" s="404"/>
      <c r="O782" s="419"/>
      <c r="P782" s="419"/>
      <c r="Q782" s="419"/>
      <c r="R782" s="419"/>
      <c r="S782" s="419"/>
      <c r="T782" s="420"/>
      <c r="U782" s="421"/>
    </row>
    <row r="783" spans="1:21" s="418" customFormat="1" ht="12" hidden="1" customHeight="1" x14ac:dyDescent="0.2">
      <c r="F783" s="419"/>
      <c r="G783" s="419"/>
      <c r="H783" s="419"/>
      <c r="I783" s="419"/>
      <c r="J783" s="404"/>
      <c r="K783" s="404"/>
      <c r="L783" s="404"/>
      <c r="M783" s="404"/>
      <c r="N783" s="404"/>
      <c r="O783" s="419"/>
      <c r="P783" s="419"/>
      <c r="Q783" s="419"/>
      <c r="R783" s="419"/>
      <c r="S783" s="419"/>
      <c r="T783" s="420"/>
      <c r="U783" s="421"/>
    </row>
    <row r="784" spans="1:21" s="418" customFormat="1" ht="12" hidden="1" customHeight="1" x14ac:dyDescent="0.2">
      <c r="F784" s="419"/>
      <c r="G784" s="419"/>
      <c r="H784" s="419"/>
      <c r="I784" s="419"/>
      <c r="J784" s="404"/>
      <c r="K784" s="404"/>
      <c r="L784" s="404"/>
      <c r="M784" s="404"/>
      <c r="N784" s="404"/>
      <c r="O784" s="419"/>
      <c r="P784" s="419"/>
      <c r="Q784" s="419"/>
      <c r="R784" s="419"/>
      <c r="S784" s="419"/>
      <c r="T784" s="420"/>
      <c r="U784" s="421"/>
    </row>
    <row r="785" spans="1:22" s="418" customFormat="1" ht="12" hidden="1" customHeight="1" x14ac:dyDescent="0.2">
      <c r="F785" s="419"/>
      <c r="G785" s="419"/>
      <c r="H785" s="419"/>
      <c r="I785" s="419"/>
      <c r="J785" s="404"/>
      <c r="K785" s="404"/>
      <c r="L785" s="404"/>
      <c r="M785" s="404"/>
      <c r="N785" s="404"/>
      <c r="O785" s="419"/>
      <c r="P785" s="419"/>
      <c r="Q785" s="419"/>
      <c r="R785" s="419"/>
      <c r="S785" s="419"/>
      <c r="T785" s="420"/>
      <c r="U785" s="421"/>
    </row>
    <row r="787" spans="1:22" ht="12" customHeight="1" x14ac:dyDescent="0.2">
      <c r="A787" s="171" t="s">
        <v>1920</v>
      </c>
    </row>
    <row r="789" spans="1:22" ht="12" customHeight="1" x14ac:dyDescent="0.2">
      <c r="A789" s="171" t="s">
        <v>524</v>
      </c>
    </row>
    <row r="791" spans="1:22" ht="12" customHeight="1" x14ac:dyDescent="0.2">
      <c r="A791" s="55" t="s">
        <v>614</v>
      </c>
      <c r="F791" s="62">
        <f t="shared" ref="F791:L791" si="300">F669</f>
        <v>1342076919.6966815</v>
      </c>
      <c r="G791" s="62">
        <f t="shared" si="300"/>
        <v>496337782.25838131</v>
      </c>
      <c r="H791" s="62">
        <f t="shared" si="300"/>
        <v>187257249.5117563</v>
      </c>
      <c r="I791" s="62">
        <f>I669</f>
        <v>11468017.144892761</v>
      </c>
      <c r="J791" s="62">
        <f t="shared" si="300"/>
        <v>229139908.22646797</v>
      </c>
      <c r="K791" s="62">
        <f t="shared" si="300"/>
        <v>53103200.451937541</v>
      </c>
      <c r="L791" s="62">
        <f t="shared" si="300"/>
        <v>26292773.926772475</v>
      </c>
      <c r="M791" s="62">
        <f t="shared" ref="M791:R791" si="301">M669</f>
        <v>210197720.63500616</v>
      </c>
      <c r="N791" s="62">
        <f t="shared" si="301"/>
        <v>88952422.410075888</v>
      </c>
      <c r="O791" s="62">
        <f t="shared" si="301"/>
        <v>15738896.033731196</v>
      </c>
      <c r="P791" s="62">
        <f t="shared" si="301"/>
        <v>23477221.395694751</v>
      </c>
      <c r="Q791" s="62">
        <f t="shared" si="301"/>
        <v>2321.6410632774919</v>
      </c>
      <c r="R791" s="62">
        <f t="shared" si="301"/>
        <v>109406.06501882606</v>
      </c>
      <c r="S791" s="62"/>
      <c r="T791" s="62">
        <f>SUM(G791:R791)</f>
        <v>1342076919.7007985</v>
      </c>
      <c r="U791" s="61" t="str">
        <f>IF(ABS(F791-T791)&lt;0.01,"ok","err")</f>
        <v>ok</v>
      </c>
      <c r="V791" s="62" t="str">
        <f>IF(U791="err",T791-F791,"")</f>
        <v/>
      </c>
    </row>
    <row r="792" spans="1:22" ht="12" customHeight="1" x14ac:dyDescent="0.2"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1"/>
      <c r="V792" s="62"/>
    </row>
    <row r="793" spans="1:22" ht="12" customHeight="1" x14ac:dyDescent="0.2">
      <c r="A793" s="55" t="s">
        <v>615</v>
      </c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1"/>
    </row>
    <row r="794" spans="1:22" ht="12" customHeight="1" x14ac:dyDescent="0.2">
      <c r="B794" s="55" t="s">
        <v>2376</v>
      </c>
      <c r="E794" s="55" t="s">
        <v>609</v>
      </c>
      <c r="F794" s="430">
        <v>5107000</v>
      </c>
      <c r="G794" s="404">
        <f t="shared" ref="G794:R805" si="302">IF(VLOOKUP($E794,$D$5:$AH$1259,3,)=0,0,(VLOOKUP($E794,$D$5:$AH$1259,G$1,)/VLOOKUP($E794,$D$5:$AH$1259,3,))*$F794)</f>
        <v>1874679.6123756515</v>
      </c>
      <c r="H794" s="404">
        <f t="shared" si="302"/>
        <v>717487.16922213393</v>
      </c>
      <c r="I794" s="404">
        <f t="shared" si="302"/>
        <v>43929.959136815509</v>
      </c>
      <c r="J794" s="404">
        <f t="shared" si="302"/>
        <v>878463.58256749634</v>
      </c>
      <c r="K794" s="404">
        <f t="shared" si="302"/>
        <v>203405.16107079751</v>
      </c>
      <c r="L794" s="404">
        <f t="shared" si="302"/>
        <v>99632.355850217369</v>
      </c>
      <c r="M794" s="404">
        <f t="shared" si="302"/>
        <v>800167.62487457832</v>
      </c>
      <c r="N794" s="404">
        <f t="shared" si="302"/>
        <v>338913.45635997044</v>
      </c>
      <c r="O794" s="404">
        <f t="shared" si="302"/>
        <v>58253.436088675036</v>
      </c>
      <c r="P794" s="404">
        <f t="shared" si="302"/>
        <v>91635.771476017064</v>
      </c>
      <c r="Q794" s="404">
        <f t="shared" si="302"/>
        <v>8.899937991145686</v>
      </c>
      <c r="R794" s="404">
        <f t="shared" si="302"/>
        <v>422.97103965581198</v>
      </c>
      <c r="S794" s="404"/>
      <c r="T794" s="62">
        <f t="shared" ref="T794:T803" si="303">SUM(G794:R794)</f>
        <v>5107000</v>
      </c>
      <c r="U794" s="61" t="str">
        <f t="shared" ref="U794:U807" si="304">IF(ABS(F794-T794)&lt;0.01,"ok","err")</f>
        <v>ok</v>
      </c>
      <c r="V794" s="62" t="str">
        <f t="shared" ref="V794:V805" si="305">IF(U794="err",T794-F794,"")</f>
        <v/>
      </c>
    </row>
    <row r="795" spans="1:22" ht="12" customHeight="1" x14ac:dyDescent="0.2">
      <c r="B795" s="55" t="s">
        <v>2377</v>
      </c>
      <c r="E795" s="55" t="s">
        <v>609</v>
      </c>
      <c r="F795" s="430">
        <v>-8438658</v>
      </c>
      <c r="G795" s="404">
        <f t="shared" si="302"/>
        <v>-3097665.9699257277</v>
      </c>
      <c r="H795" s="404">
        <f t="shared" si="302"/>
        <v>-1185554.8933725699</v>
      </c>
      <c r="I795" s="404">
        <f t="shared" si="302"/>
        <v>-72588.584513327063</v>
      </c>
      <c r="J795" s="404">
        <f t="shared" si="302"/>
        <v>-1451547.6284985046</v>
      </c>
      <c r="K795" s="404">
        <f t="shared" si="302"/>
        <v>-336100.76164311217</v>
      </c>
      <c r="L795" s="404">
        <f t="shared" si="302"/>
        <v>-164629.60187082115</v>
      </c>
      <c r="M795" s="404">
        <f t="shared" si="302"/>
        <v>-1322173.669275281</v>
      </c>
      <c r="N795" s="404">
        <f t="shared" si="302"/>
        <v>-560010.72054429527</v>
      </c>
      <c r="O795" s="404">
        <f t="shared" si="302"/>
        <v>-96256.280492889433</v>
      </c>
      <c r="P795" s="404">
        <f t="shared" si="302"/>
        <v>-151416.27884320801</v>
      </c>
      <c r="Q795" s="404">
        <f t="shared" si="302"/>
        <v>-14.705998223709708</v>
      </c>
      <c r="R795" s="404">
        <f t="shared" si="302"/>
        <v>-698.90502204030452</v>
      </c>
      <c r="S795" s="404"/>
      <c r="T795" s="62">
        <f>SUM(G795:R795)</f>
        <v>-8438658</v>
      </c>
      <c r="U795" s="61" t="str">
        <f t="shared" si="304"/>
        <v>ok</v>
      </c>
      <c r="V795" s="62" t="str">
        <f t="shared" si="305"/>
        <v/>
      </c>
    </row>
    <row r="796" spans="1:22" ht="12" customHeight="1" x14ac:dyDescent="0.2">
      <c r="B796" s="55" t="s">
        <v>2369</v>
      </c>
      <c r="E796" s="55" t="s">
        <v>124</v>
      </c>
      <c r="F796" s="430">
        <v>-9156061</v>
      </c>
      <c r="G796" s="404">
        <f t="shared" si="302"/>
        <v>-3061788.9998644912</v>
      </c>
      <c r="H796" s="404">
        <f t="shared" si="302"/>
        <v>-980047.40446740482</v>
      </c>
      <c r="I796" s="404">
        <f t="shared" si="302"/>
        <v>-80990.923390325057</v>
      </c>
      <c r="J796" s="404">
        <f t="shared" si="302"/>
        <v>-1577625.3699306212</v>
      </c>
      <c r="K796" s="404">
        <f t="shared" si="302"/>
        <v>-360730.87489408121</v>
      </c>
      <c r="L796" s="404">
        <f t="shared" si="302"/>
        <v>-233543.57427835834</v>
      </c>
      <c r="M796" s="404">
        <f t="shared" si="302"/>
        <v>-1801421.4472878426</v>
      </c>
      <c r="N796" s="404">
        <f t="shared" si="302"/>
        <v>-751680.26926724892</v>
      </c>
      <c r="O796" s="404">
        <f t="shared" si="302"/>
        <v>-244136.70472987008</v>
      </c>
      <c r="P796" s="404">
        <f t="shared" si="302"/>
        <v>-63498.147896990464</v>
      </c>
      <c r="Q796" s="404">
        <f t="shared" si="302"/>
        <v>-20.629391852396854</v>
      </c>
      <c r="R796" s="404">
        <f t="shared" si="302"/>
        <v>-576.65460091374086</v>
      </c>
      <c r="S796" s="404"/>
      <c r="T796" s="62">
        <f t="shared" si="303"/>
        <v>-9156061.0000000019</v>
      </c>
      <c r="U796" s="61" t="str">
        <f t="shared" si="304"/>
        <v>ok</v>
      </c>
      <c r="V796" s="62" t="str">
        <f t="shared" si="305"/>
        <v/>
      </c>
    </row>
    <row r="797" spans="1:22" ht="12" customHeight="1" x14ac:dyDescent="0.2">
      <c r="B797" s="55" t="s">
        <v>2370</v>
      </c>
      <c r="D797" s="55" t="s">
        <v>1043</v>
      </c>
      <c r="E797" s="55" t="s">
        <v>2345</v>
      </c>
      <c r="F797" s="430">
        <v>2885839</v>
      </c>
      <c r="G797" s="404">
        <f t="shared" si="302"/>
        <v>882160.17472013307</v>
      </c>
      <c r="H797" s="404">
        <f t="shared" si="302"/>
        <v>313854.19389732421</v>
      </c>
      <c r="I797" s="404">
        <f t="shared" si="302"/>
        <v>27665.884491657871</v>
      </c>
      <c r="J797" s="404">
        <f t="shared" si="302"/>
        <v>517039.63074416626</v>
      </c>
      <c r="K797" s="404">
        <f t="shared" si="302"/>
        <v>153768.50981750022</v>
      </c>
      <c r="L797" s="404">
        <f t="shared" si="302"/>
        <v>67295.856269872398</v>
      </c>
      <c r="M797" s="404">
        <f t="shared" si="302"/>
        <v>541690.62448499212</v>
      </c>
      <c r="N797" s="404">
        <f t="shared" si="302"/>
        <v>272139.30985825357</v>
      </c>
      <c r="O797" s="404">
        <f t="shared" si="302"/>
        <v>89537.612389993985</v>
      </c>
      <c r="P797" s="404">
        <f t="shared" si="302"/>
        <v>20524.40621626089</v>
      </c>
      <c r="Q797" s="404">
        <f t="shared" si="302"/>
        <v>6.3842003860992698</v>
      </c>
      <c r="R797" s="404">
        <f t="shared" si="302"/>
        <v>156.41290945943209</v>
      </c>
      <c r="S797" s="404"/>
      <c r="T797" s="62">
        <f t="shared" si="303"/>
        <v>2885839</v>
      </c>
      <c r="U797" s="61" t="str">
        <f t="shared" si="304"/>
        <v>ok</v>
      </c>
      <c r="V797" s="62" t="str">
        <f t="shared" si="305"/>
        <v/>
      </c>
    </row>
    <row r="798" spans="1:22" ht="12" customHeight="1" x14ac:dyDescent="0.2">
      <c r="B798" s="55" t="s">
        <v>2720</v>
      </c>
      <c r="D798" s="55" t="s">
        <v>1043</v>
      </c>
      <c r="E798" s="55" t="s">
        <v>2345</v>
      </c>
      <c r="F798" s="430">
        <v>-2638801</v>
      </c>
      <c r="G798" s="404">
        <f t="shared" si="302"/>
        <v>-806644.15139294381</v>
      </c>
      <c r="H798" s="404">
        <f t="shared" si="302"/>
        <v>-286987.16758296388</v>
      </c>
      <c r="I798" s="404">
        <f t="shared" si="302"/>
        <v>-25297.587170480158</v>
      </c>
      <c r="J798" s="404">
        <f t="shared" si="302"/>
        <v>-472779.2141721478</v>
      </c>
      <c r="K798" s="404">
        <f t="shared" si="302"/>
        <v>-140605.38286263697</v>
      </c>
      <c r="L798" s="404">
        <f t="shared" si="302"/>
        <v>-61535.093544995245</v>
      </c>
      <c r="M798" s="404">
        <f t="shared" si="302"/>
        <v>-495319.9958769778</v>
      </c>
      <c r="N798" s="404">
        <f t="shared" si="302"/>
        <v>-248843.22479295253</v>
      </c>
      <c r="O798" s="404">
        <f t="shared" si="302"/>
        <v>-81872.876869544183</v>
      </c>
      <c r="P798" s="404">
        <f t="shared" si="302"/>
        <v>-18767.444631483409</v>
      </c>
      <c r="Q798" s="404">
        <f t="shared" si="302"/>
        <v>-5.8376903087937819</v>
      </c>
      <c r="R798" s="404">
        <f t="shared" si="302"/>
        <v>-143.02341256544764</v>
      </c>
      <c r="S798" s="404"/>
      <c r="T798" s="62">
        <f>SUM(G798:R798)</f>
        <v>-2638801</v>
      </c>
      <c r="U798" s="61" t="str">
        <f t="shared" si="304"/>
        <v>ok</v>
      </c>
      <c r="V798" s="62" t="str">
        <f t="shared" si="305"/>
        <v/>
      </c>
    </row>
    <row r="799" spans="1:22" ht="12" customHeight="1" x14ac:dyDescent="0.2">
      <c r="B799" s="55" t="s">
        <v>2371</v>
      </c>
      <c r="E799" s="55" t="s">
        <v>2289</v>
      </c>
      <c r="F799" s="430">
        <v>-14710734</v>
      </c>
      <c r="G799" s="404">
        <f t="shared" si="302"/>
        <v>-5574887.6210326673</v>
      </c>
      <c r="H799" s="404">
        <f t="shared" si="302"/>
        <v>-2594230.823650484</v>
      </c>
      <c r="I799" s="404">
        <f t="shared" si="302"/>
        <v>-124250.9915537191</v>
      </c>
      <c r="J799" s="404">
        <f t="shared" si="302"/>
        <v>-2755267.8127035801</v>
      </c>
      <c r="K799" s="404">
        <f t="shared" si="302"/>
        <v>-685529.95339933725</v>
      </c>
      <c r="L799" s="404">
        <f t="shared" si="302"/>
        <v>-219123.9851044832</v>
      </c>
      <c r="M799" s="404">
        <f t="shared" si="302"/>
        <v>-1637605.8886795253</v>
      </c>
      <c r="N799" s="404">
        <f t="shared" si="302"/>
        <v>-689253.95314618887</v>
      </c>
      <c r="O799" s="404">
        <f t="shared" si="302"/>
        <v>-170283.98842450767</v>
      </c>
      <c r="P799" s="404">
        <f t="shared" si="302"/>
        <v>-259238.98237756308</v>
      </c>
      <c r="Q799" s="404">
        <f t="shared" si="302"/>
        <v>-10.999999252246743</v>
      </c>
      <c r="R799" s="404">
        <f t="shared" si="302"/>
        <v>-1048.9999286915304</v>
      </c>
      <c r="S799" s="404"/>
      <c r="T799" s="62">
        <f t="shared" si="303"/>
        <v>-14710734.000000002</v>
      </c>
      <c r="U799" s="61" t="str">
        <f t="shared" si="304"/>
        <v>ok</v>
      </c>
      <c r="V799" s="62" t="str">
        <f t="shared" si="305"/>
        <v/>
      </c>
    </row>
    <row r="800" spans="1:22" ht="12" customHeight="1" x14ac:dyDescent="0.2">
      <c r="B800" s="55" t="s">
        <v>1757</v>
      </c>
      <c r="D800" s="55" t="s">
        <v>1044</v>
      </c>
      <c r="E800" s="55" t="s">
        <v>2290</v>
      </c>
      <c r="F800" s="430">
        <v>0</v>
      </c>
      <c r="G800" s="404">
        <f t="shared" si="302"/>
        <v>0</v>
      </c>
      <c r="H800" s="404">
        <f t="shared" si="302"/>
        <v>0</v>
      </c>
      <c r="I800" s="404">
        <f t="shared" si="302"/>
        <v>0</v>
      </c>
      <c r="J800" s="404">
        <f t="shared" si="302"/>
        <v>0</v>
      </c>
      <c r="K800" s="404">
        <f t="shared" si="302"/>
        <v>0</v>
      </c>
      <c r="L800" s="404">
        <f t="shared" si="302"/>
        <v>0</v>
      </c>
      <c r="M800" s="404">
        <f t="shared" si="302"/>
        <v>0</v>
      </c>
      <c r="N800" s="404">
        <f t="shared" si="302"/>
        <v>0</v>
      </c>
      <c r="O800" s="404">
        <f t="shared" si="302"/>
        <v>0</v>
      </c>
      <c r="P800" s="404">
        <f t="shared" si="302"/>
        <v>0</v>
      </c>
      <c r="Q800" s="404">
        <f t="shared" si="302"/>
        <v>0</v>
      </c>
      <c r="R800" s="404">
        <f t="shared" si="302"/>
        <v>0</v>
      </c>
      <c r="S800" s="404"/>
      <c r="T800" s="62">
        <f t="shared" si="303"/>
        <v>0</v>
      </c>
      <c r="U800" s="61" t="str">
        <f t="shared" si="304"/>
        <v>ok</v>
      </c>
      <c r="V800" s="62" t="str">
        <f t="shared" si="305"/>
        <v/>
      </c>
    </row>
    <row r="801" spans="1:22" ht="12" customHeight="1" x14ac:dyDescent="0.2">
      <c r="B801" s="55" t="s">
        <v>395</v>
      </c>
      <c r="E801" s="55" t="s">
        <v>1472</v>
      </c>
      <c r="F801" s="430">
        <v>-296088</v>
      </c>
      <c r="G801" s="404">
        <f t="shared" si="302"/>
        <v>-108494.33659142815</v>
      </c>
      <c r="H801" s="404">
        <f t="shared" si="302"/>
        <v>-33289.516616829511</v>
      </c>
      <c r="I801" s="404">
        <f t="shared" si="302"/>
        <v>-2497.2353645053981</v>
      </c>
      <c r="J801" s="404">
        <f t="shared" si="302"/>
        <v>-47867.263906016058</v>
      </c>
      <c r="K801" s="404">
        <f t="shared" si="302"/>
        <v>-10960.801763590611</v>
      </c>
      <c r="L801" s="404">
        <f t="shared" si="302"/>
        <v>-7284.4479941444715</v>
      </c>
      <c r="M801" s="404">
        <f t="shared" si="302"/>
        <v>-54372.403017246739</v>
      </c>
      <c r="N801" s="404">
        <f t="shared" si="302"/>
        <v>-22862.509641862405</v>
      </c>
      <c r="O801" s="404">
        <f t="shared" si="302"/>
        <v>-7100.5319506512105</v>
      </c>
      <c r="P801" s="404">
        <f t="shared" si="302"/>
        <v>-1342.2157011681923</v>
      </c>
      <c r="Q801" s="404">
        <f t="shared" si="302"/>
        <v>-0.43617322650791729</v>
      </c>
      <c r="R801" s="404">
        <f t="shared" si="302"/>
        <v>-16.301279330794841</v>
      </c>
      <c r="S801" s="404"/>
      <c r="T801" s="62">
        <f t="shared" si="303"/>
        <v>-296088</v>
      </c>
      <c r="U801" s="61" t="str">
        <f t="shared" si="304"/>
        <v>ok</v>
      </c>
      <c r="V801" s="62" t="str">
        <f t="shared" si="305"/>
        <v/>
      </c>
    </row>
    <row r="802" spans="1:22" ht="12" customHeight="1" x14ac:dyDescent="0.2">
      <c r="B802" s="55" t="s">
        <v>2721</v>
      </c>
      <c r="E802" s="55" t="s">
        <v>1472</v>
      </c>
      <c r="F802" s="430">
        <v>-292995</v>
      </c>
      <c r="G802" s="404">
        <f t="shared" si="302"/>
        <v>-107360.98102457881</v>
      </c>
      <c r="H802" s="404">
        <f t="shared" si="302"/>
        <v>-32941.767046107787</v>
      </c>
      <c r="I802" s="404">
        <f t="shared" si="302"/>
        <v>-2471.148697763027</v>
      </c>
      <c r="J802" s="404">
        <f t="shared" si="302"/>
        <v>-47367.231999078569</v>
      </c>
      <c r="K802" s="404">
        <f t="shared" si="302"/>
        <v>-10846.302831331332</v>
      </c>
      <c r="L802" s="404">
        <f t="shared" si="302"/>
        <v>-7208.3530573490298</v>
      </c>
      <c r="M802" s="404">
        <f t="shared" si="302"/>
        <v>-53804.417004533134</v>
      </c>
      <c r="N802" s="404">
        <f t="shared" si="302"/>
        <v>-22623.682866301489</v>
      </c>
      <c r="O802" s="404">
        <f t="shared" si="302"/>
        <v>-7026.3582410670188</v>
      </c>
      <c r="P802" s="404">
        <f t="shared" si="302"/>
        <v>-1328.1946224223018</v>
      </c>
      <c r="Q802" s="404">
        <f t="shared" si="302"/>
        <v>-0.43161686559633361</v>
      </c>
      <c r="R802" s="404">
        <f t="shared" si="302"/>
        <v>-16.130992601950211</v>
      </c>
      <c r="S802" s="404"/>
      <c r="T802" s="62">
        <f>SUM(G802:R802)</f>
        <v>-292995.00000000012</v>
      </c>
      <c r="U802" s="61" t="str">
        <f t="shared" si="304"/>
        <v>ok</v>
      </c>
      <c r="V802" s="62" t="str">
        <f t="shared" si="305"/>
        <v/>
      </c>
    </row>
    <row r="803" spans="1:22" ht="12" customHeight="1" x14ac:dyDescent="0.2">
      <c r="B803" s="55" t="s">
        <v>2374</v>
      </c>
      <c r="E803" s="55" t="s">
        <v>124</v>
      </c>
      <c r="F803" s="430">
        <v>294881</v>
      </c>
      <c r="G803" s="404">
        <f t="shared" si="302"/>
        <v>98608.277300581671</v>
      </c>
      <c r="H803" s="404">
        <f t="shared" si="302"/>
        <v>31563.502981986774</v>
      </c>
      <c r="I803" s="404">
        <f t="shared" si="302"/>
        <v>2608.401634749096</v>
      </c>
      <c r="J803" s="404">
        <f t="shared" si="302"/>
        <v>50809.157640006059</v>
      </c>
      <c r="K803" s="404">
        <f t="shared" si="302"/>
        <v>11617.733992777195</v>
      </c>
      <c r="L803" s="404">
        <f t="shared" si="302"/>
        <v>7521.5272950646122</v>
      </c>
      <c r="M803" s="404">
        <f t="shared" si="302"/>
        <v>58016.756091695577</v>
      </c>
      <c r="N803" s="404">
        <f t="shared" si="302"/>
        <v>24208.688592375656</v>
      </c>
      <c r="O803" s="404">
        <f t="shared" si="302"/>
        <v>7862.6906949886879</v>
      </c>
      <c r="P803" s="404">
        <f t="shared" si="302"/>
        <v>2045.0275888302235</v>
      </c>
      <c r="Q803" s="404">
        <f t="shared" si="302"/>
        <v>0.66439222050034796</v>
      </c>
      <c r="R803" s="404">
        <f t="shared" si="302"/>
        <v>18.571794723958789</v>
      </c>
      <c r="S803" s="404"/>
      <c r="T803" s="62">
        <f t="shared" si="303"/>
        <v>294881</v>
      </c>
      <c r="U803" s="61" t="str">
        <f t="shared" si="304"/>
        <v>ok</v>
      </c>
      <c r="V803" s="62" t="str">
        <f t="shared" si="305"/>
        <v/>
      </c>
    </row>
    <row r="804" spans="1:22" ht="12" customHeight="1" x14ac:dyDescent="0.2">
      <c r="B804" s="55" t="s">
        <v>2375</v>
      </c>
      <c r="D804" s="55" t="s">
        <v>1045</v>
      </c>
      <c r="E804" s="55" t="s">
        <v>2287</v>
      </c>
      <c r="F804" s="430">
        <v>-15401724</v>
      </c>
      <c r="G804" s="404">
        <f t="shared" si="302"/>
        <v>-11425657.715977799</v>
      </c>
      <c r="H804" s="404">
        <f t="shared" si="302"/>
        <v>-3105609.4593060235</v>
      </c>
      <c r="I804" s="404">
        <f t="shared" si="302"/>
        <v>-38693.703443131701</v>
      </c>
      <c r="J804" s="404">
        <f t="shared" si="302"/>
        <v>-527103.5826287457</v>
      </c>
      <c r="K804" s="404">
        <f t="shared" si="302"/>
        <v>-97297.768852323192</v>
      </c>
      <c r="L804" s="404">
        <f t="shared" si="302"/>
        <v>-70050.273498770635</v>
      </c>
      <c r="M804" s="404">
        <f t="shared" si="302"/>
        <v>-137311.49629320472</v>
      </c>
      <c r="N804" s="404">
        <f t="shared" si="302"/>
        <v>0</v>
      </c>
      <c r="O804" s="404">
        <f t="shared" si="302"/>
        <v>0</v>
      </c>
      <c r="P804" s="404">
        <f t="shared" si="302"/>
        <v>0</v>
      </c>
      <c r="Q804" s="404">
        <f t="shared" si="302"/>
        <v>0</v>
      </c>
      <c r="R804" s="404">
        <f t="shared" si="302"/>
        <v>0</v>
      </c>
      <c r="S804" s="404"/>
      <c r="T804" s="62">
        <f>SUM(G804:R804)</f>
        <v>-15401723.999999998</v>
      </c>
      <c r="U804" s="61" t="str">
        <f t="shared" si="304"/>
        <v>ok</v>
      </c>
      <c r="V804" s="405" t="str">
        <f t="shared" si="305"/>
        <v/>
      </c>
    </row>
    <row r="805" spans="1:22" ht="12" customHeight="1" x14ac:dyDescent="0.2">
      <c r="B805" s="55" t="s">
        <v>396</v>
      </c>
      <c r="D805" s="55" t="s">
        <v>1867</v>
      </c>
      <c r="E805" s="55" t="s">
        <v>2288</v>
      </c>
      <c r="F805" s="430">
        <v>-3407542</v>
      </c>
      <c r="G805" s="503">
        <f t="shared" si="302"/>
        <v>-710224.72499999998</v>
      </c>
      <c r="H805" s="404">
        <f t="shared" si="302"/>
        <v>42720.713819999997</v>
      </c>
      <c r="I805" s="404">
        <f t="shared" si="302"/>
        <v>73528.97464</v>
      </c>
      <c r="J805" s="404">
        <f t="shared" si="302"/>
        <v>-1562555.88555</v>
      </c>
      <c r="K805" s="404">
        <f t="shared" si="302"/>
        <v>171787</v>
      </c>
      <c r="L805" s="404">
        <f t="shared" si="302"/>
        <v>116378.11070000009</v>
      </c>
      <c r="M805" s="404">
        <f t="shared" si="302"/>
        <v>-1816141.9948885681</v>
      </c>
      <c r="N805" s="404">
        <f t="shared" si="302"/>
        <v>166983</v>
      </c>
      <c r="O805" s="404">
        <f t="shared" si="302"/>
        <v>0</v>
      </c>
      <c r="P805" s="404">
        <f t="shared" si="302"/>
        <v>98915</v>
      </c>
      <c r="Q805" s="404">
        <f t="shared" si="302"/>
        <v>0</v>
      </c>
      <c r="R805" s="404">
        <f t="shared" si="302"/>
        <v>11068</v>
      </c>
      <c r="S805" s="404"/>
      <c r="T805" s="62">
        <f>SUM(G805:R805)</f>
        <v>-3407541.8062785678</v>
      </c>
      <c r="U805" s="61" t="str">
        <f t="shared" si="304"/>
        <v>err</v>
      </c>
      <c r="V805" s="62">
        <f t="shared" si="305"/>
        <v>0.19372143223881721</v>
      </c>
    </row>
    <row r="806" spans="1:22" ht="12" customHeight="1" x14ac:dyDescent="0.2">
      <c r="B806" s="409" t="s">
        <v>2372</v>
      </c>
      <c r="E806" s="55" t="s">
        <v>2719</v>
      </c>
      <c r="F806" s="430">
        <v>-8348788</v>
      </c>
      <c r="G806" s="404">
        <f t="shared" ref="G806:R807" si="306">IF(VLOOKUP($E806,$D$5:$AH$1244,3,)=0,0,(VLOOKUP($E806,$D$5:$AH$1244,G$1,)/VLOOKUP($E806,$D$5:$AH$1244,3,))*$F806)</f>
        <v>-30891</v>
      </c>
      <c r="H806" s="404">
        <f t="shared" si="306"/>
        <v>-3346954</v>
      </c>
      <c r="I806" s="404">
        <f t="shared" si="306"/>
        <v>-20438</v>
      </c>
      <c r="J806" s="404">
        <f t="shared" si="306"/>
        <v>-1353663</v>
      </c>
      <c r="K806" s="404">
        <f t="shared" si="306"/>
        <v>-5386209</v>
      </c>
      <c r="L806" s="404">
        <f t="shared" si="306"/>
        <v>2518028</v>
      </c>
      <c r="M806" s="404">
        <f t="shared" si="306"/>
        <v>3315076</v>
      </c>
      <c r="N806" s="404">
        <f t="shared" si="306"/>
        <v>-2949246</v>
      </c>
      <c r="O806" s="404">
        <f t="shared" si="306"/>
        <v>-1094561</v>
      </c>
      <c r="P806" s="404">
        <f t="shared" si="306"/>
        <v>0</v>
      </c>
      <c r="Q806" s="404">
        <f t="shared" si="306"/>
        <v>0</v>
      </c>
      <c r="R806" s="404">
        <f t="shared" si="306"/>
        <v>70</v>
      </c>
      <c r="S806" s="404"/>
      <c r="T806" s="62">
        <f>SUM(G806:R806)</f>
        <v>-8348788</v>
      </c>
      <c r="U806" s="61" t="str">
        <f t="shared" si="304"/>
        <v>ok</v>
      </c>
      <c r="V806" s="405"/>
    </row>
    <row r="807" spans="1:22" ht="12" customHeight="1" x14ac:dyDescent="0.2">
      <c r="B807" s="409" t="s">
        <v>2722</v>
      </c>
      <c r="E807" s="55" t="s">
        <v>514</v>
      </c>
      <c r="F807" s="430">
        <v>23287</v>
      </c>
      <c r="G807" s="404">
        <f t="shared" si="306"/>
        <v>10301.671768823899</v>
      </c>
      <c r="H807" s="404">
        <f t="shared" si="306"/>
        <v>2951.2585592113255</v>
      </c>
      <c r="I807" s="404">
        <f t="shared" si="306"/>
        <v>176.56867564474302</v>
      </c>
      <c r="J807" s="404">
        <f t="shared" si="306"/>
        <v>3104.5133979808461</v>
      </c>
      <c r="K807" s="404">
        <f t="shared" si="306"/>
        <v>691.59265839428792</v>
      </c>
      <c r="L807" s="404">
        <f t="shared" si="306"/>
        <v>476.23606090923658</v>
      </c>
      <c r="M807" s="404">
        <f t="shared" si="306"/>
        <v>3355.5516629336321</v>
      </c>
      <c r="N807" s="404">
        <f t="shared" si="306"/>
        <v>1312.8617949744853</v>
      </c>
      <c r="O807" s="404">
        <f t="shared" si="306"/>
        <v>388.2201378025257</v>
      </c>
      <c r="P807" s="404">
        <f t="shared" si="306"/>
        <v>526.59503413537971</v>
      </c>
      <c r="Q807" s="404">
        <f t="shared" si="306"/>
        <v>3.3248607996686386E-2</v>
      </c>
      <c r="R807" s="404">
        <f t="shared" si="306"/>
        <v>1.897000581650985</v>
      </c>
      <c r="S807" s="404"/>
      <c r="T807" s="62">
        <f>SUM(G807:R807)</f>
        <v>23287.000000000007</v>
      </c>
      <c r="U807" s="61" t="str">
        <f t="shared" si="304"/>
        <v>ok</v>
      </c>
      <c r="V807" s="405"/>
    </row>
    <row r="809" spans="1:22" ht="12" customHeight="1" x14ac:dyDescent="0.2">
      <c r="A809" s="55" t="s">
        <v>616</v>
      </c>
      <c r="E809" s="410"/>
      <c r="F809" s="62">
        <f t="shared" ref="F809:S809" si="307">SUM(F791:F807)</f>
        <v>1287696535.6966815</v>
      </c>
      <c r="G809" s="62">
        <f t="shared" si="307"/>
        <v>474279916.49373692</v>
      </c>
      <c r="H809" s="62">
        <f t="shared" si="307"/>
        <v>176800211.31819463</v>
      </c>
      <c r="I809" s="62">
        <f t="shared" si="307"/>
        <v>11248698.759338377</v>
      </c>
      <c r="J809" s="62">
        <f t="shared" si="307"/>
        <v>220793548.12142894</v>
      </c>
      <c r="K809" s="62">
        <f t="shared" si="307"/>
        <v>46616189.603230596</v>
      </c>
      <c r="L809" s="62">
        <f t="shared" si="307"/>
        <v>28338730.683599625</v>
      </c>
      <c r="M809" s="62">
        <f t="shared" si="307"/>
        <v>207597875.87979716</v>
      </c>
      <c r="N809" s="62">
        <f t="shared" si="307"/>
        <v>84511459.366422608</v>
      </c>
      <c r="O809" s="62">
        <f t="shared" si="307"/>
        <v>14193700.252334129</v>
      </c>
      <c r="P809" s="62">
        <f t="shared" si="307"/>
        <v>23195276.931937154</v>
      </c>
      <c r="Q809" s="62">
        <f t="shared" si="307"/>
        <v>2284.581972753982</v>
      </c>
      <c r="R809" s="62">
        <f t="shared" si="307"/>
        <v>118643.90252710316</v>
      </c>
      <c r="S809" s="62">
        <f t="shared" si="307"/>
        <v>0</v>
      </c>
      <c r="T809" s="62">
        <f>SUM(G809:R809)</f>
        <v>1287696535.8945203</v>
      </c>
      <c r="U809" s="61" t="str">
        <f>IF(ABS(F809-T809)&lt;0.01,"ok","err")</f>
        <v>err</v>
      </c>
      <c r="V809" s="62">
        <f>IF(U809="err",T809-F809,"")</f>
        <v>0.19783878326416016</v>
      </c>
    </row>
    <row r="810" spans="1:22" ht="12" customHeight="1" x14ac:dyDescent="0.2">
      <c r="E810" s="62"/>
      <c r="F810" s="410"/>
    </row>
    <row r="812" spans="1:22" ht="12" customHeight="1" x14ac:dyDescent="0.2">
      <c r="A812" s="171" t="s">
        <v>528</v>
      </c>
    </row>
    <row r="814" spans="1:22" ht="12" customHeight="1" x14ac:dyDescent="0.2">
      <c r="A814" s="403" t="s">
        <v>529</v>
      </c>
      <c r="F814" s="62">
        <f t="shared" ref="F814:R814" si="308">F231</f>
        <v>858787982.80655324</v>
      </c>
      <c r="G814" s="62">
        <f t="shared" si="308"/>
        <v>332550542.46238667</v>
      </c>
      <c r="H814" s="62">
        <f t="shared" si="308"/>
        <v>104905177.57274917</v>
      </c>
      <c r="I814" s="62">
        <f t="shared" si="308"/>
        <v>7372239.2442167262</v>
      </c>
      <c r="J814" s="62">
        <f t="shared" si="308"/>
        <v>131510847.83207567</v>
      </c>
      <c r="K814" s="62">
        <f t="shared" si="308"/>
        <v>29595390.789760306</v>
      </c>
      <c r="L814" s="62">
        <f t="shared" si="308"/>
        <v>19447461.670868166</v>
      </c>
      <c r="M814" s="62">
        <f t="shared" si="308"/>
        <v>145790692.3536911</v>
      </c>
      <c r="N814" s="62">
        <f t="shared" si="308"/>
        <v>59296646.123915702</v>
      </c>
      <c r="O814" s="62">
        <f t="shared" si="308"/>
        <v>18926916.147077117</v>
      </c>
      <c r="P814" s="62">
        <f t="shared" si="308"/>
        <v>9322434.2751641236</v>
      </c>
      <c r="Q814" s="62">
        <f t="shared" si="308"/>
        <v>1876.4788640370346</v>
      </c>
      <c r="R814" s="62">
        <f t="shared" si="308"/>
        <v>67757.855784387517</v>
      </c>
      <c r="S814" s="62"/>
      <c r="T814" s="62">
        <f>T231</f>
        <v>858787982.80655324</v>
      </c>
      <c r="U814" s="61" t="str">
        <f t="shared" ref="U814:U822" si="309">IF(ABS(F814-T814)&lt;0.01,"ok","err")</f>
        <v>ok</v>
      </c>
      <c r="V814" s="405" t="str">
        <f t="shared" ref="V814:V822" si="310">IF(U814="err",T814-F814,"")</f>
        <v/>
      </c>
    </row>
    <row r="815" spans="1:22" ht="12" customHeight="1" x14ac:dyDescent="0.2">
      <c r="A815" s="403" t="s">
        <v>530</v>
      </c>
      <c r="F815" s="73">
        <f t="shared" ref="F815:R815" si="311">F345</f>
        <v>167700748.64225844</v>
      </c>
      <c r="G815" s="73">
        <f t="shared" si="311"/>
        <v>73699223.710939452</v>
      </c>
      <c r="H815" s="73">
        <f t="shared" si="311"/>
        <v>21121073.846467357</v>
      </c>
      <c r="I815" s="73">
        <f t="shared" si="311"/>
        <v>1274519.9907020095</v>
      </c>
      <c r="J815" s="73">
        <f t="shared" si="311"/>
        <v>22564394.612155128</v>
      </c>
      <c r="K815" s="73">
        <f t="shared" si="311"/>
        <v>5040755.816084858</v>
      </c>
      <c r="L815" s="73">
        <f t="shared" si="311"/>
        <v>3471937.4855865487</v>
      </c>
      <c r="M815" s="73">
        <f t="shared" si="311"/>
        <v>24487872.458493497</v>
      </c>
      <c r="N815" s="73">
        <f t="shared" si="311"/>
        <v>9654543.188335469</v>
      </c>
      <c r="O815" s="73">
        <f t="shared" si="311"/>
        <v>2848821.339736606</v>
      </c>
      <c r="P815" s="73">
        <f t="shared" si="311"/>
        <v>3524368.0260045133</v>
      </c>
      <c r="Q815" s="73">
        <f t="shared" si="311"/>
        <v>232.02731947284468</v>
      </c>
      <c r="R815" s="73">
        <f t="shared" si="311"/>
        <v>13006.140433533066</v>
      </c>
      <c r="S815" s="73"/>
      <c r="T815" s="73">
        <f>T345</f>
        <v>167700748.64225844</v>
      </c>
      <c r="U815" s="61" t="str">
        <f t="shared" si="309"/>
        <v>ok</v>
      </c>
      <c r="V815" s="405" t="str">
        <f t="shared" si="310"/>
        <v/>
      </c>
    </row>
    <row r="816" spans="1:22" ht="12" customHeight="1" x14ac:dyDescent="0.2">
      <c r="A816" s="403" t="s">
        <v>324</v>
      </c>
      <c r="F816" s="73">
        <f t="shared" ref="F816:R816" si="312">F402</f>
        <v>-2665352.2514233929</v>
      </c>
      <c r="G816" s="73">
        <f t="shared" si="312"/>
        <v>-1055664.9553276494</v>
      </c>
      <c r="H816" s="73">
        <f t="shared" si="312"/>
        <v>-313044.43798934371</v>
      </c>
      <c r="I816" s="73">
        <f t="shared" si="312"/>
        <v>-21470.684927298582</v>
      </c>
      <c r="J816" s="73">
        <f t="shared" si="312"/>
        <v>-404484.43618869578</v>
      </c>
      <c r="K816" s="73">
        <f t="shared" si="312"/>
        <v>-92708.712768470636</v>
      </c>
      <c r="L816" s="73">
        <f t="shared" si="312"/>
        <v>-63235.069832804038</v>
      </c>
      <c r="M816" s="73">
        <f t="shared" si="312"/>
        <v>-456661.18989068043</v>
      </c>
      <c r="N816" s="73">
        <f t="shared" si="312"/>
        <v>-193268.18534264187</v>
      </c>
      <c r="O816" s="73">
        <f t="shared" si="312"/>
        <v>-57248.619911782509</v>
      </c>
      <c r="P816" s="73">
        <f t="shared" si="312"/>
        <v>-7434.3079535627212</v>
      </c>
      <c r="Q816" s="73">
        <f t="shared" si="312"/>
        <v>-2.1004155633624215</v>
      </c>
      <c r="R816" s="73">
        <f t="shared" si="312"/>
        <v>-129.55087490095832</v>
      </c>
      <c r="S816" s="73"/>
      <c r="T816" s="62">
        <f>SUM(G816:R816)</f>
        <v>-2665352.2514233938</v>
      </c>
      <c r="U816" s="61" t="str">
        <f t="shared" si="309"/>
        <v>ok</v>
      </c>
      <c r="V816" s="62" t="str">
        <f t="shared" si="310"/>
        <v/>
      </c>
    </row>
    <row r="817" spans="1:22" ht="12" customHeight="1" x14ac:dyDescent="0.2">
      <c r="A817" s="403" t="s">
        <v>531</v>
      </c>
      <c r="E817" s="55" t="s">
        <v>511</v>
      </c>
      <c r="F817" s="73">
        <f t="shared" ref="F817:R817" si="313">F675</f>
        <v>17000077.441468611</v>
      </c>
      <c r="G817" s="73">
        <f t="shared" si="313"/>
        <v>7559151.6936148442</v>
      </c>
      <c r="H817" s="73">
        <f t="shared" si="313"/>
        <v>2158330.6919524013</v>
      </c>
      <c r="I817" s="73">
        <f t="shared" si="313"/>
        <v>128274.7950640722</v>
      </c>
      <c r="J817" s="73">
        <f t="shared" si="313"/>
        <v>2252440.7450201968</v>
      </c>
      <c r="K817" s="73">
        <f t="shared" si="313"/>
        <v>501392.04568888864</v>
      </c>
      <c r="L817" s="73">
        <f t="shared" si="313"/>
        <v>345818.03542399872</v>
      </c>
      <c r="M817" s="73">
        <f t="shared" si="313"/>
        <v>2430961.5585361104</v>
      </c>
      <c r="N817" s="73">
        <f t="shared" si="313"/>
        <v>948347.55030575965</v>
      </c>
      <c r="O817" s="73">
        <f t="shared" si="313"/>
        <v>279666.78784190927</v>
      </c>
      <c r="P817" s="73">
        <f t="shared" si="313"/>
        <v>394291.55313188169</v>
      </c>
      <c r="Q817" s="73">
        <f t="shared" si="313"/>
        <v>24.730585112038412</v>
      </c>
      <c r="R817" s="73">
        <f t="shared" si="313"/>
        <v>1377.2543034400535</v>
      </c>
      <c r="S817" s="73"/>
      <c r="T817" s="62">
        <f>SUM(G817:R817)</f>
        <v>17000077.441468619</v>
      </c>
      <c r="U817" s="61" t="str">
        <f t="shared" si="309"/>
        <v>ok</v>
      </c>
      <c r="V817" s="62" t="str">
        <f t="shared" si="310"/>
        <v/>
      </c>
    </row>
    <row r="818" spans="1:22" ht="12" customHeight="1" x14ac:dyDescent="0.2">
      <c r="A818" s="403" t="s">
        <v>532</v>
      </c>
      <c r="F818" s="73">
        <f t="shared" ref="F818:R818" si="314">F516</f>
        <v>8845972.7081135008</v>
      </c>
      <c r="G818" s="73">
        <f t="shared" si="314"/>
        <v>3933396.762952053</v>
      </c>
      <c r="H818" s="73">
        <f t="shared" si="314"/>
        <v>1123085.1425136386</v>
      </c>
      <c r="I818" s="73">
        <f t="shared" si="314"/>
        <v>66747.656896415225</v>
      </c>
      <c r="J818" s="73">
        <f t="shared" si="314"/>
        <v>1172055.2112596855</v>
      </c>
      <c r="K818" s="73">
        <f t="shared" si="314"/>
        <v>260898.83222590474</v>
      </c>
      <c r="L818" s="73">
        <f t="shared" si="314"/>
        <v>179946.05694395304</v>
      </c>
      <c r="M818" s="73">
        <f t="shared" si="314"/>
        <v>1264948.3318721741</v>
      </c>
      <c r="N818" s="73">
        <f t="shared" si="314"/>
        <v>493471.66662590974</v>
      </c>
      <c r="O818" s="73">
        <f t="shared" si="314"/>
        <v>145524.3237057619</v>
      </c>
      <c r="P818" s="73">
        <f t="shared" si="314"/>
        <v>205169.20173176553</v>
      </c>
      <c r="Q818" s="73">
        <f t="shared" si="314"/>
        <v>12.868534376386407</v>
      </c>
      <c r="R818" s="73">
        <f t="shared" si="314"/>
        <v>716.65285186548556</v>
      </c>
      <c r="S818" s="73"/>
      <c r="T818" s="62">
        <f>SUM(G818:R818)</f>
        <v>8845972.7081135027</v>
      </c>
      <c r="U818" s="61" t="str">
        <f t="shared" si="309"/>
        <v>ok</v>
      </c>
      <c r="V818" s="62" t="str">
        <f t="shared" si="310"/>
        <v/>
      </c>
    </row>
    <row r="819" spans="1:22" ht="12" customHeight="1" x14ac:dyDescent="0.2">
      <c r="A819" s="55" t="s">
        <v>1174</v>
      </c>
      <c r="F819" s="73">
        <f t="shared" ref="F819:R819" si="315">F677</f>
        <v>-767.27434829426568</v>
      </c>
      <c r="G819" s="73">
        <f t="shared" si="315"/>
        <v>-256.57672655147002</v>
      </c>
      <c r="H819" s="73">
        <f t="shared" si="315"/>
        <v>-82.127591063473105</v>
      </c>
      <c r="I819" s="73">
        <f t="shared" si="315"/>
        <v>-6.7870078587355911</v>
      </c>
      <c r="J819" s="73">
        <f t="shared" si="315"/>
        <v>-132.20439199411376</v>
      </c>
      <c r="K819" s="73">
        <f t="shared" si="315"/>
        <v>-30.229106920975781</v>
      </c>
      <c r="L819" s="73">
        <f t="shared" si="315"/>
        <v>-19.570860630214327</v>
      </c>
      <c r="M819" s="73">
        <f t="shared" si="315"/>
        <v>-150.95841617602724</v>
      </c>
      <c r="N819" s="73">
        <f t="shared" si="315"/>
        <v>-62.99051401336083</v>
      </c>
      <c r="O819" s="73">
        <f t="shared" si="315"/>
        <v>-20.458560839243059</v>
      </c>
      <c r="P819" s="73">
        <f t="shared" si="315"/>
        <v>-5.3211200805189325</v>
      </c>
      <c r="Q819" s="73">
        <f t="shared" si="315"/>
        <v>-1.7287350083463654E-3</v>
      </c>
      <c r="R819" s="73">
        <f t="shared" si="315"/>
        <v>-4.8323431124692201E-2</v>
      </c>
      <c r="S819" s="73"/>
      <c r="T819" s="73">
        <f>T677</f>
        <v>-767.27434829426556</v>
      </c>
      <c r="U819" s="61" t="str">
        <f t="shared" si="309"/>
        <v>ok</v>
      </c>
      <c r="V819" s="62" t="str">
        <f t="shared" si="310"/>
        <v/>
      </c>
    </row>
    <row r="820" spans="1:22" ht="12" customHeight="1" x14ac:dyDescent="0.2">
      <c r="A820" s="403" t="s">
        <v>1915</v>
      </c>
      <c r="E820" s="55" t="s">
        <v>1431</v>
      </c>
      <c r="F820" s="73">
        <f>F678</f>
        <v>89659333.980000004</v>
      </c>
      <c r="G820" s="404">
        <f t="shared" ref="G820:R820" si="316">IF(VLOOKUP($E820,$D$5:$AH$1259,3,)=0,0,(VLOOKUP($E820,$D$5:$AH$1259,G$1,)/VLOOKUP($E820,$D$5:$AH$1259,3,))*$F820)</f>
        <v>19511553.749609314</v>
      </c>
      <c r="H820" s="404">
        <f t="shared" si="316"/>
        <v>19263921.506408751</v>
      </c>
      <c r="I820" s="404">
        <f t="shared" si="316"/>
        <v>829878.55126266228</v>
      </c>
      <c r="J820" s="404">
        <f t="shared" si="316"/>
        <v>24409874.30770972</v>
      </c>
      <c r="K820" s="404">
        <f t="shared" si="316"/>
        <v>6134473.5232201414</v>
      </c>
      <c r="L820" s="404">
        <f t="shared" si="316"/>
        <v>605177.0054053074</v>
      </c>
      <c r="M820" s="404">
        <f t="shared" si="316"/>
        <v>10571114.537875118</v>
      </c>
      <c r="N820" s="404">
        <f t="shared" si="316"/>
        <v>5793960.6313363416</v>
      </c>
      <c r="O820" s="404">
        <f t="shared" si="316"/>
        <v>-804142.68751974148</v>
      </c>
      <c r="P820" s="404">
        <f t="shared" si="316"/>
        <v>3335155.7833623751</v>
      </c>
      <c r="Q820" s="404">
        <f t="shared" si="316"/>
        <v>34.905320247606817</v>
      </c>
      <c r="R820" s="404">
        <f t="shared" si="316"/>
        <v>8332.1675972272715</v>
      </c>
      <c r="S820" s="404"/>
      <c r="T820" s="62">
        <f>SUM(G820:R820)</f>
        <v>89659333.981587455</v>
      </c>
      <c r="U820" s="61" t="str">
        <f t="shared" si="309"/>
        <v>ok</v>
      </c>
      <c r="V820" s="62" t="str">
        <f t="shared" si="310"/>
        <v/>
      </c>
    </row>
    <row r="821" spans="1:22" ht="12" customHeight="1" x14ac:dyDescent="0.2">
      <c r="A821" s="403" t="s">
        <v>1191</v>
      </c>
      <c r="F821" s="73">
        <f>-F1220</f>
        <v>-5672872.8508417504</v>
      </c>
      <c r="G821" s="73">
        <f t="shared" ref="G821:R821" si="317">-G1220</f>
        <v>0</v>
      </c>
      <c r="H821" s="73">
        <f t="shared" si="317"/>
        <v>0</v>
      </c>
      <c r="I821" s="73">
        <f>-I1220</f>
        <v>0</v>
      </c>
      <c r="J821" s="73">
        <f t="shared" si="317"/>
        <v>0</v>
      </c>
      <c r="K821" s="73">
        <f t="shared" si="317"/>
        <v>-70827.272727272721</v>
      </c>
      <c r="L821" s="73">
        <f t="shared" si="317"/>
        <v>0</v>
      </c>
      <c r="M821" s="73">
        <f>-M1220</f>
        <v>-190331.78181818183</v>
      </c>
      <c r="N821" s="73">
        <f>-N1220</f>
        <v>0</v>
      </c>
      <c r="O821" s="73">
        <f t="shared" si="317"/>
        <v>-5411713.7962962957</v>
      </c>
      <c r="P821" s="73">
        <f t="shared" si="317"/>
        <v>0</v>
      </c>
      <c r="Q821" s="73">
        <f t="shared" si="317"/>
        <v>0</v>
      </c>
      <c r="R821" s="73">
        <f t="shared" si="317"/>
        <v>0</v>
      </c>
      <c r="S821" s="73"/>
      <c r="T821" s="62">
        <f>SUM(G821:R821)</f>
        <v>-5672872.8508417504</v>
      </c>
      <c r="U821" s="61" t="str">
        <f t="shared" si="309"/>
        <v>ok</v>
      </c>
      <c r="V821" s="62" t="str">
        <f t="shared" si="310"/>
        <v/>
      </c>
    </row>
    <row r="822" spans="1:22" ht="12" customHeight="1" x14ac:dyDescent="0.2">
      <c r="A822" s="403" t="s">
        <v>718</v>
      </c>
      <c r="E822" s="55" t="s">
        <v>720</v>
      </c>
      <c r="F822" s="404">
        <f>-F821</f>
        <v>5672872.8508417504</v>
      </c>
      <c r="G822" s="404">
        <f t="shared" ref="G822:R822" si="318">IF(VLOOKUP($E822,$D$5:$AH$1299,3,)=0,0,(VLOOKUP($E822,$D$5:$AH$1299,G$1,)/VLOOKUP($E822,$D$5:$AH$1299,3,))*$F822)</f>
        <v>2422409.363763846</v>
      </c>
      <c r="H822" s="404">
        <f t="shared" si="318"/>
        <v>700281.16375136469</v>
      </c>
      <c r="I822" s="404">
        <f t="shared" si="318"/>
        <v>43630.144827521675</v>
      </c>
      <c r="J822" s="404">
        <f t="shared" si="318"/>
        <v>805162.32952428702</v>
      </c>
      <c r="K822" s="404">
        <f t="shared" si="318"/>
        <v>192821.88345711885</v>
      </c>
      <c r="L822" s="404">
        <f t="shared" si="318"/>
        <v>123237.69082680426</v>
      </c>
      <c r="M822" s="404">
        <f t="shared" si="318"/>
        <v>891853.96422304865</v>
      </c>
      <c r="N822" s="404">
        <f t="shared" si="318"/>
        <v>385939.89213795669</v>
      </c>
      <c r="O822" s="404">
        <f t="shared" si="318"/>
        <v>107318.9572211185</v>
      </c>
      <c r="P822" s="404">
        <f t="shared" si="318"/>
        <v>0</v>
      </c>
      <c r="Q822" s="404">
        <f t="shared" si="318"/>
        <v>0</v>
      </c>
      <c r="R822" s="404">
        <f t="shared" si="318"/>
        <v>217.46110868521043</v>
      </c>
      <c r="S822" s="404"/>
      <c r="T822" s="62">
        <f>SUM(G822:R822)</f>
        <v>5672872.8508417523</v>
      </c>
      <c r="U822" s="61" t="str">
        <f t="shared" si="309"/>
        <v>ok</v>
      </c>
      <c r="V822" s="62" t="str">
        <f t="shared" si="310"/>
        <v/>
      </c>
    </row>
    <row r="823" spans="1:22" ht="12" customHeight="1" x14ac:dyDescent="0.2">
      <c r="A823" s="403"/>
      <c r="B823" s="62"/>
      <c r="D823" s="410"/>
      <c r="F823" s="73"/>
      <c r="G823" s="73"/>
      <c r="H823" s="73"/>
      <c r="I823" s="73"/>
      <c r="J823" s="73"/>
      <c r="K823" s="73"/>
      <c r="L823" s="73"/>
      <c r="M823" s="73"/>
      <c r="N823" s="73"/>
      <c r="O823" s="73"/>
      <c r="P823" s="73"/>
      <c r="Q823" s="73"/>
      <c r="R823" s="73"/>
      <c r="S823" s="73"/>
      <c r="T823" s="73"/>
      <c r="U823" s="61"/>
    </row>
    <row r="824" spans="1:22" ht="12" customHeight="1" x14ac:dyDescent="0.2">
      <c r="A824" s="55" t="s">
        <v>1919</v>
      </c>
      <c r="D824" s="410"/>
      <c r="G824" s="410"/>
      <c r="T824" s="62"/>
      <c r="U824" s="61"/>
    </row>
    <row r="825" spans="1:22" ht="12" customHeight="1" x14ac:dyDescent="0.2">
      <c r="B825" s="55" t="s">
        <v>325</v>
      </c>
      <c r="E825" s="55" t="s">
        <v>124</v>
      </c>
      <c r="F825" s="404">
        <v>-12785149</v>
      </c>
      <c r="G825" s="404">
        <f t="shared" ref="G825:R834" si="319">IF(VLOOKUP($E825,$D$5:$AH$1244,3,)=0,0,(VLOOKUP($E825,$D$5:$AH$1244,G$1,)/VLOOKUP($E825,$D$5:$AH$1244,3,))*$F825)</f>
        <v>-4275356.8996349527</v>
      </c>
      <c r="H825" s="404">
        <f t="shared" si="319"/>
        <v>-1368498.1012226804</v>
      </c>
      <c r="I825" s="404">
        <f t="shared" si="319"/>
        <v>-113092.41203099139</v>
      </c>
      <c r="J825" s="404">
        <f t="shared" si="319"/>
        <v>-2202931.5248929765</v>
      </c>
      <c r="K825" s="404">
        <f t="shared" si="319"/>
        <v>-503709.8359678018</v>
      </c>
      <c r="L825" s="404">
        <f t="shared" si="319"/>
        <v>-326110.6927030498</v>
      </c>
      <c r="M825" s="404">
        <f t="shared" si="319"/>
        <v>-2515431.211671778</v>
      </c>
      <c r="N825" s="404">
        <f t="shared" si="319"/>
        <v>-1049615.5762769491</v>
      </c>
      <c r="O825" s="404">
        <f t="shared" si="319"/>
        <v>-340902.50669369654</v>
      </c>
      <c r="P825" s="404">
        <f t="shared" si="319"/>
        <v>-88666.215972901424</v>
      </c>
      <c r="Q825" s="404">
        <f t="shared" si="319"/>
        <v>-28.806038820872839</v>
      </c>
      <c r="R825" s="404">
        <f t="shared" si="319"/>
        <v>-805.21689340183661</v>
      </c>
      <c r="S825" s="404"/>
      <c r="T825" s="404">
        <f t="shared" ref="T825:T839" si="320">SUM(G825:R825)</f>
        <v>-12785149</v>
      </c>
      <c r="U825" s="61" t="str">
        <f t="shared" ref="U825:U848" si="321">IF(ABS(F825-T825)&lt;0.01,"ok","err")</f>
        <v>ok</v>
      </c>
      <c r="V825" s="62" t="str">
        <f t="shared" ref="V825:V834" si="322">IF(U825="err",T825-F825,"")</f>
        <v/>
      </c>
    </row>
    <row r="826" spans="1:22" ht="12" customHeight="1" x14ac:dyDescent="0.2">
      <c r="B826" s="55" t="s">
        <v>326</v>
      </c>
      <c r="E826" s="55" t="s">
        <v>2289</v>
      </c>
      <c r="F826" s="73">
        <v>-9309387</v>
      </c>
      <c r="G826" s="73">
        <f t="shared" si="319"/>
        <v>-3527953.5572937722</v>
      </c>
      <c r="H826" s="73">
        <f t="shared" si="319"/>
        <v>-1641705.8934442773</v>
      </c>
      <c r="I826" s="73">
        <f t="shared" si="319"/>
        <v>-78629.697573710626</v>
      </c>
      <c r="J826" s="73">
        <f t="shared" si="319"/>
        <v>-1743614.8568182352</v>
      </c>
      <c r="K826" s="73">
        <f t="shared" si="319"/>
        <v>-433823.60365474597</v>
      </c>
      <c r="L826" s="73">
        <f t="shared" si="319"/>
        <v>-138668.13024556555</v>
      </c>
      <c r="M826" s="73">
        <f t="shared" si="319"/>
        <v>-1036325.3778633086</v>
      </c>
      <c r="N826" s="73">
        <f t="shared" si="319"/>
        <v>-436180.26069384028</v>
      </c>
      <c r="O826" s="73">
        <f t="shared" si="319"/>
        <v>-107760.73771351328</v>
      </c>
      <c r="P826" s="73">
        <f t="shared" si="319"/>
        <v>-164054.08543441235</v>
      </c>
      <c r="Q826" s="73">
        <f t="shared" si="319"/>
        <v>-6.9611244441559172</v>
      </c>
      <c r="R826" s="73">
        <f t="shared" si="319"/>
        <v>-663.83814017450527</v>
      </c>
      <c r="S826" s="73"/>
      <c r="T826" s="73">
        <f t="shared" si="320"/>
        <v>-9309387.0000000019</v>
      </c>
      <c r="U826" s="61" t="str">
        <f t="shared" si="321"/>
        <v>ok</v>
      </c>
      <c r="V826" s="62" t="str">
        <f t="shared" si="322"/>
        <v/>
      </c>
    </row>
    <row r="827" spans="1:22" ht="12" customHeight="1" x14ac:dyDescent="0.2">
      <c r="B827" s="55" t="s">
        <v>29</v>
      </c>
      <c r="E827" s="55" t="s">
        <v>2290</v>
      </c>
      <c r="F827" s="73">
        <v>0</v>
      </c>
      <c r="G827" s="73">
        <f t="shared" si="319"/>
        <v>0</v>
      </c>
      <c r="H827" s="73">
        <f t="shared" si="319"/>
        <v>0</v>
      </c>
      <c r="I827" s="73">
        <f t="shared" si="319"/>
        <v>0</v>
      </c>
      <c r="J827" s="73">
        <f t="shared" si="319"/>
        <v>0</v>
      </c>
      <c r="K827" s="73">
        <f t="shared" si="319"/>
        <v>0</v>
      </c>
      <c r="L827" s="73">
        <f t="shared" si="319"/>
        <v>0</v>
      </c>
      <c r="M827" s="73">
        <f t="shared" si="319"/>
        <v>0</v>
      </c>
      <c r="N827" s="73">
        <f t="shared" si="319"/>
        <v>0</v>
      </c>
      <c r="O827" s="73">
        <f t="shared" si="319"/>
        <v>0</v>
      </c>
      <c r="P827" s="73">
        <f t="shared" si="319"/>
        <v>0</v>
      </c>
      <c r="Q827" s="73">
        <f t="shared" si="319"/>
        <v>0</v>
      </c>
      <c r="R827" s="73">
        <f t="shared" si="319"/>
        <v>0</v>
      </c>
      <c r="S827" s="73"/>
      <c r="T827" s="73">
        <f t="shared" si="320"/>
        <v>0</v>
      </c>
      <c r="U827" s="61" t="str">
        <f t="shared" si="321"/>
        <v>ok</v>
      </c>
      <c r="V827" s="62" t="str">
        <f t="shared" si="322"/>
        <v/>
      </c>
    </row>
    <row r="828" spans="1:22" ht="12" customHeight="1" x14ac:dyDescent="0.2">
      <c r="B828" s="55" t="s">
        <v>2720</v>
      </c>
      <c r="E828" s="55" t="s">
        <v>2345</v>
      </c>
      <c r="F828" s="73">
        <v>-2614696</v>
      </c>
      <c r="G828" s="73">
        <f t="shared" si="319"/>
        <v>-799275.59375281609</v>
      </c>
      <c r="H828" s="73">
        <f t="shared" si="319"/>
        <v>-284365.58843600005</v>
      </c>
      <c r="I828" s="73">
        <f t="shared" si="319"/>
        <v>-25066.497998259732</v>
      </c>
      <c r="J828" s="73">
        <f t="shared" si="319"/>
        <v>-468460.45616136194</v>
      </c>
      <c r="K828" s="73">
        <f t="shared" si="319"/>
        <v>-139320.97651524513</v>
      </c>
      <c r="L828" s="73">
        <f t="shared" si="319"/>
        <v>-60972.980892354099</v>
      </c>
      <c r="M828" s="73">
        <f t="shared" si="319"/>
        <v>-490795.33164476982</v>
      </c>
      <c r="N828" s="73">
        <f t="shared" si="319"/>
        <v>-246570.08410002643</v>
      </c>
      <c r="O828" s="73">
        <f t="shared" si="319"/>
        <v>-81124.982012394918</v>
      </c>
      <c r="P828" s="73">
        <f t="shared" si="319"/>
        <v>-18596.007204848393</v>
      </c>
      <c r="Q828" s="73">
        <f t="shared" si="319"/>
        <v>-5.7843639969978282</v>
      </c>
      <c r="R828" s="73">
        <f t="shared" si="319"/>
        <v>-141.7169179264468</v>
      </c>
      <c r="S828" s="73"/>
      <c r="T828" s="73">
        <f>SUM(G828:R828)</f>
        <v>-2614696.0000000005</v>
      </c>
      <c r="U828" s="61" t="str">
        <f t="shared" si="321"/>
        <v>ok</v>
      </c>
      <c r="V828" s="62" t="str">
        <f t="shared" si="322"/>
        <v/>
      </c>
    </row>
    <row r="829" spans="1:22" ht="12" customHeight="1" x14ac:dyDescent="0.2">
      <c r="B829" s="55" t="s">
        <v>327</v>
      </c>
      <c r="E829" s="55" t="s">
        <v>124</v>
      </c>
      <c r="F829" s="73">
        <v>-6018</v>
      </c>
      <c r="G829" s="73">
        <f t="shared" si="319"/>
        <v>-2012.4206469555531</v>
      </c>
      <c r="H829" s="73">
        <f t="shared" si="319"/>
        <v>-644.15530653245344</v>
      </c>
      <c r="I829" s="73">
        <f t="shared" si="319"/>
        <v>-53.232866946056411</v>
      </c>
      <c r="J829" s="73">
        <f t="shared" si="319"/>
        <v>-1036.9251008968245</v>
      </c>
      <c r="K829" s="73">
        <f t="shared" si="319"/>
        <v>-237.09741613916515</v>
      </c>
      <c r="L829" s="73">
        <f t="shared" si="319"/>
        <v>-153.50107759299118</v>
      </c>
      <c r="M829" s="73">
        <f t="shared" si="319"/>
        <v>-1184.019445674099</v>
      </c>
      <c r="N829" s="73">
        <f t="shared" si="319"/>
        <v>-494.05654467027949</v>
      </c>
      <c r="O829" s="73">
        <f t="shared" si="319"/>
        <v>-160.46361957007036</v>
      </c>
      <c r="P829" s="73">
        <f t="shared" si="319"/>
        <v>-41.735398447442478</v>
      </c>
      <c r="Q829" s="73">
        <f t="shared" si="319"/>
        <v>-1.3559070889515072E-2</v>
      </c>
      <c r="R829" s="73">
        <f t="shared" si="319"/>
        <v>-0.37901750417552843</v>
      </c>
      <c r="S829" s="73"/>
      <c r="T829" s="73">
        <f t="shared" si="320"/>
        <v>-6018</v>
      </c>
      <c r="U829" s="61" t="str">
        <f t="shared" si="321"/>
        <v>ok</v>
      </c>
      <c r="V829" s="62" t="str">
        <f t="shared" si="322"/>
        <v/>
      </c>
    </row>
    <row r="830" spans="1:22" ht="12" customHeight="1" x14ac:dyDescent="0.2">
      <c r="B830" s="55" t="s">
        <v>2373</v>
      </c>
      <c r="E830" s="55" t="s">
        <v>1045</v>
      </c>
      <c r="F830" s="73">
        <v>-13589518</v>
      </c>
      <c r="G830" s="73">
        <f t="shared" si="319"/>
        <v>-10081285.782885034</v>
      </c>
      <c r="H830" s="73">
        <f t="shared" si="319"/>
        <v>-2740195.5552644283</v>
      </c>
      <c r="I830" s="73">
        <f t="shared" si="319"/>
        <v>-34140.903929138076</v>
      </c>
      <c r="J830" s="73">
        <f t="shared" si="319"/>
        <v>-465083.23509743629</v>
      </c>
      <c r="K830" s="73">
        <f t="shared" si="319"/>
        <v>-85849.466019419982</v>
      </c>
      <c r="L830" s="73">
        <f t="shared" si="319"/>
        <v>-61807.980237567339</v>
      </c>
      <c r="M830" s="73">
        <f t="shared" si="319"/>
        <v>-121155.07656697645</v>
      </c>
      <c r="N830" s="73">
        <f t="shared" si="319"/>
        <v>0</v>
      </c>
      <c r="O830" s="73">
        <f t="shared" si="319"/>
        <v>0</v>
      </c>
      <c r="P830" s="73">
        <f t="shared" si="319"/>
        <v>0</v>
      </c>
      <c r="Q830" s="73">
        <f t="shared" si="319"/>
        <v>0</v>
      </c>
      <c r="R830" s="73">
        <f t="shared" si="319"/>
        <v>0</v>
      </c>
      <c r="S830" s="73"/>
      <c r="T830" s="73">
        <f t="shared" si="320"/>
        <v>-13589518</v>
      </c>
      <c r="U830" s="61" t="str">
        <f t="shared" si="321"/>
        <v>ok</v>
      </c>
      <c r="V830" s="405" t="str">
        <f t="shared" si="322"/>
        <v/>
      </c>
    </row>
    <row r="831" spans="1:22" ht="12" customHeight="1" x14ac:dyDescent="0.2">
      <c r="B831" s="55" t="s">
        <v>396</v>
      </c>
      <c r="E831" s="55" t="s">
        <v>1867</v>
      </c>
      <c r="F831" s="73">
        <v>-1909033</v>
      </c>
      <c r="G831" s="502">
        <f t="shared" si="319"/>
        <v>-397894.56371804804</v>
      </c>
      <c r="H831" s="73">
        <f t="shared" si="319"/>
        <v>23933.748275424354</v>
      </c>
      <c r="I831" s="73">
        <f t="shared" si="319"/>
        <v>41193.693003321197</v>
      </c>
      <c r="J831" s="73">
        <f t="shared" si="319"/>
        <v>-875402.48949511792</v>
      </c>
      <c r="K831" s="73">
        <f t="shared" si="319"/>
        <v>96241.528929357286</v>
      </c>
      <c r="L831" s="73">
        <f t="shared" si="319"/>
        <v>65199.388240542088</v>
      </c>
      <c r="M831" s="73">
        <f t="shared" si="319"/>
        <v>-1017470.951474144</v>
      </c>
      <c r="N831" s="73">
        <f t="shared" si="319"/>
        <v>93550.147713219674</v>
      </c>
      <c r="O831" s="73">
        <f t="shared" si="319"/>
        <v>0</v>
      </c>
      <c r="P831" s="73">
        <f t="shared" si="319"/>
        <v>55415.897792308941</v>
      </c>
      <c r="Q831" s="73">
        <f t="shared" si="319"/>
        <v>0</v>
      </c>
      <c r="R831" s="73">
        <f t="shared" si="319"/>
        <v>6200.7092631580181</v>
      </c>
      <c r="S831" s="73"/>
      <c r="T831" s="73">
        <f t="shared" si="320"/>
        <v>-1909032.8914699783</v>
      </c>
      <c r="U831" s="61" t="str">
        <f t="shared" si="321"/>
        <v>err</v>
      </c>
      <c r="V831" s="62">
        <f t="shared" si="322"/>
        <v>0.10853002173826098</v>
      </c>
    </row>
    <row r="832" spans="1:22" ht="12" customHeight="1" x14ac:dyDescent="0.2">
      <c r="B832" s="55" t="s">
        <v>2380</v>
      </c>
      <c r="E832" s="55" t="s">
        <v>2144</v>
      </c>
      <c r="F832" s="73">
        <v>712846</v>
      </c>
      <c r="G832" s="73">
        <f t="shared" si="319"/>
        <v>313273.47820920759</v>
      </c>
      <c r="H832" s="73">
        <f t="shared" si="319"/>
        <v>89779.402471700902</v>
      </c>
      <c r="I832" s="73">
        <f t="shared" si="319"/>
        <v>5417.6053753347715</v>
      </c>
      <c r="J832" s="73">
        <f t="shared" si="319"/>
        <v>95914.529731819799</v>
      </c>
      <c r="K832" s="73">
        <f t="shared" si="319"/>
        <v>21426.753604648879</v>
      </c>
      <c r="L832" s="73">
        <f t="shared" si="319"/>
        <v>14758.17352568915</v>
      </c>
      <c r="M832" s="73">
        <f t="shared" si="319"/>
        <v>104090.66191937409</v>
      </c>
      <c r="N832" s="73">
        <f t="shared" si="319"/>
        <v>41038.591356043355</v>
      </c>
      <c r="O832" s="73">
        <f t="shared" si="319"/>
        <v>12109.492135171973</v>
      </c>
      <c r="P832" s="73">
        <f t="shared" si="319"/>
        <v>14981.040157575884</v>
      </c>
      <c r="Q832" s="73">
        <f t="shared" si="319"/>
        <v>0.98627911870430862</v>
      </c>
      <c r="R832" s="73">
        <f t="shared" si="319"/>
        <v>55.285234314965031</v>
      </c>
      <c r="S832" s="73"/>
      <c r="T832" s="73">
        <f t="shared" si="320"/>
        <v>712846.00000000023</v>
      </c>
      <c r="U832" s="61" t="str">
        <f t="shared" si="321"/>
        <v>ok</v>
      </c>
      <c r="V832" s="62" t="str">
        <f t="shared" si="322"/>
        <v/>
      </c>
    </row>
    <row r="833" spans="1:22" ht="12" customHeight="1" x14ac:dyDescent="0.2">
      <c r="B833" s="55" t="s">
        <v>328</v>
      </c>
      <c r="E833" s="55" t="s">
        <v>518</v>
      </c>
      <c r="F833" s="73">
        <v>2883454</v>
      </c>
      <c r="G833" s="73">
        <f t="shared" si="319"/>
        <v>1356477.8453278062</v>
      </c>
      <c r="H833" s="73">
        <f t="shared" si="319"/>
        <v>421263.52153809561</v>
      </c>
      <c r="I833" s="73">
        <f t="shared" si="319"/>
        <v>23117.578952227261</v>
      </c>
      <c r="J833" s="73">
        <f t="shared" si="319"/>
        <v>346212.61392103916</v>
      </c>
      <c r="K833" s="73">
        <f t="shared" si="319"/>
        <v>73241.770971593753</v>
      </c>
      <c r="L833" s="73">
        <f t="shared" si="319"/>
        <v>51375.415443685561</v>
      </c>
      <c r="M833" s="73">
        <f t="shared" si="319"/>
        <v>353743.70933465689</v>
      </c>
      <c r="N833" s="73">
        <f t="shared" si="319"/>
        <v>134408.06417991497</v>
      </c>
      <c r="O833" s="73">
        <f t="shared" si="319"/>
        <v>41092.209218363758</v>
      </c>
      <c r="P833" s="73">
        <f t="shared" si="319"/>
        <v>82240.788138504038</v>
      </c>
      <c r="Q833" s="73">
        <f t="shared" si="319"/>
        <v>5.5600003983249415</v>
      </c>
      <c r="R833" s="73">
        <f t="shared" si="319"/>
        <v>274.92297371416981</v>
      </c>
      <c r="S833" s="73"/>
      <c r="T833" s="73">
        <f t="shared" si="320"/>
        <v>2883454</v>
      </c>
      <c r="U833" s="61" t="str">
        <f t="shared" si="321"/>
        <v>ok</v>
      </c>
      <c r="V833" s="62" t="str">
        <f t="shared" si="322"/>
        <v/>
      </c>
    </row>
    <row r="834" spans="1:22" ht="12" customHeight="1" x14ac:dyDescent="0.2">
      <c r="B834" s="55" t="s">
        <v>2378</v>
      </c>
      <c r="E834" s="55" t="s">
        <v>518</v>
      </c>
      <c r="F834" s="73">
        <v>-4067870</v>
      </c>
      <c r="G834" s="73">
        <f t="shared" si="319"/>
        <v>-1913668.6531755398</v>
      </c>
      <c r="H834" s="73">
        <f t="shared" si="319"/>
        <v>-594302.95796609658</v>
      </c>
      <c r="I834" s="73">
        <f t="shared" si="319"/>
        <v>-32613.423308433812</v>
      </c>
      <c r="J834" s="73">
        <f t="shared" si="319"/>
        <v>-488423.91999004583</v>
      </c>
      <c r="K834" s="73">
        <f t="shared" si="319"/>
        <v>-103326.77506983536</v>
      </c>
      <c r="L834" s="73">
        <f t="shared" si="319"/>
        <v>-72478.531379694352</v>
      </c>
      <c r="M834" s="73">
        <f t="shared" si="319"/>
        <v>-499048.5101864537</v>
      </c>
      <c r="N834" s="73">
        <f t="shared" si="319"/>
        <v>-189617.91380599476</v>
      </c>
      <c r="O834" s="73">
        <f t="shared" si="319"/>
        <v>-57971.365283824678</v>
      </c>
      <c r="P834" s="73">
        <f t="shared" si="319"/>
        <v>-116022.2548530257</v>
      </c>
      <c r="Q834" s="73">
        <f t="shared" si="319"/>
        <v>-7.8438424265946605</v>
      </c>
      <c r="R834" s="73">
        <f t="shared" si="319"/>
        <v>-387.85113862841581</v>
      </c>
      <c r="S834" s="73"/>
      <c r="T834" s="73">
        <f>SUM(G834:R834)</f>
        <v>-4067869.9999999995</v>
      </c>
      <c r="U834" s="61" t="str">
        <f t="shared" si="321"/>
        <v>ok</v>
      </c>
      <c r="V834" s="62" t="str">
        <f t="shared" si="322"/>
        <v/>
      </c>
    </row>
    <row r="835" spans="1:22" ht="12" customHeight="1" x14ac:dyDescent="0.2">
      <c r="B835" s="55" t="s">
        <v>2384</v>
      </c>
      <c r="E835" s="55" t="s">
        <v>294</v>
      </c>
      <c r="F835" s="73">
        <v>1079050</v>
      </c>
      <c r="G835" s="73">
        <f t="shared" ref="G835:R847" si="323">IF(VLOOKUP($E835,$D$5:$AH$1244,3,)=0,0,(VLOOKUP($E835,$D$5:$AH$1244,G$1,)/VLOOKUP($E835,$D$5:$AH$1244,3,))*$F835)</f>
        <v>477236.78526638594</v>
      </c>
      <c r="H835" s="73">
        <f t="shared" si="323"/>
        <v>136503.52562493726</v>
      </c>
      <c r="I835" s="73">
        <f t="shared" si="323"/>
        <v>8169.3522497836448</v>
      </c>
      <c r="J835" s="73">
        <f t="shared" si="323"/>
        <v>143978.06350561971</v>
      </c>
      <c r="K835" s="73">
        <f t="shared" si="323"/>
        <v>32102.122380696968</v>
      </c>
      <c r="L835" s="73">
        <f t="shared" si="323"/>
        <v>22127.359447254967</v>
      </c>
      <c r="M835" s="73">
        <f t="shared" si="323"/>
        <v>155785.03613331067</v>
      </c>
      <c r="N835" s="73">
        <f t="shared" si="323"/>
        <v>61070.640918822661</v>
      </c>
      <c r="O835" s="73">
        <f t="shared" si="323"/>
        <v>18014.664693660205</v>
      </c>
      <c r="P835" s="73">
        <f t="shared" si="323"/>
        <v>23974.29915804369</v>
      </c>
      <c r="Q835" s="73">
        <f t="shared" si="323"/>
        <v>1.4948134269299707</v>
      </c>
      <c r="R835" s="73">
        <f t="shared" si="323"/>
        <v>86.655808057461485</v>
      </c>
      <c r="S835" s="73"/>
      <c r="T835" s="73">
        <f>SUM(G835:R835)</f>
        <v>1079050</v>
      </c>
      <c r="U835" s="61" t="str">
        <f t="shared" si="321"/>
        <v>ok</v>
      </c>
      <c r="V835" s="62"/>
    </row>
    <row r="836" spans="1:22" ht="12" customHeight="1" x14ac:dyDescent="0.2">
      <c r="B836" s="55" t="s">
        <v>2381</v>
      </c>
      <c r="E836" s="55" t="s">
        <v>514</v>
      </c>
      <c r="F836" s="73">
        <v>-475875</v>
      </c>
      <c r="G836" s="73">
        <f t="shared" si="323"/>
        <v>-210516.9430578895</v>
      </c>
      <c r="H836" s="73">
        <f t="shared" si="323"/>
        <v>-60309.621972117042</v>
      </c>
      <c r="I836" s="73">
        <f t="shared" si="323"/>
        <v>-3608.2199734805722</v>
      </c>
      <c r="J836" s="73">
        <f t="shared" si="323"/>
        <v>-63441.418528111608</v>
      </c>
      <c r="K836" s="73">
        <f t="shared" si="323"/>
        <v>-14132.849070871376</v>
      </c>
      <c r="L836" s="73">
        <f t="shared" si="323"/>
        <v>-9731.9893281737859</v>
      </c>
      <c r="M836" s="73">
        <f t="shared" si="323"/>
        <v>-68571.441044296909</v>
      </c>
      <c r="N836" s="73">
        <f t="shared" si="323"/>
        <v>-26828.621406084218</v>
      </c>
      <c r="O836" s="73">
        <f t="shared" si="323"/>
        <v>-7933.3644555664923</v>
      </c>
      <c r="P836" s="73">
        <f t="shared" si="323"/>
        <v>-10761.086093922526</v>
      </c>
      <c r="Q836" s="73">
        <f t="shared" si="323"/>
        <v>-0.67944266459497293</v>
      </c>
      <c r="R836" s="73">
        <f t="shared" si="323"/>
        <v>-38.765626821538305</v>
      </c>
      <c r="S836" s="73"/>
      <c r="T836" s="73">
        <f>SUM(G836:R836)</f>
        <v>-475875.00000000017</v>
      </c>
      <c r="U836" s="61" t="str">
        <f t="shared" si="321"/>
        <v>ok</v>
      </c>
      <c r="V836" s="62"/>
    </row>
    <row r="837" spans="1:22" ht="12" customHeight="1" x14ac:dyDescent="0.2">
      <c r="B837" s="55" t="s">
        <v>2379</v>
      </c>
      <c r="E837" s="55" t="s">
        <v>1048</v>
      </c>
      <c r="F837" s="73">
        <v>-834318</v>
      </c>
      <c r="G837" s="73">
        <f t="shared" si="323"/>
        <v>-567387.71414429229</v>
      </c>
      <c r="H837" s="73">
        <f t="shared" si="323"/>
        <v>-142812.14085864433</v>
      </c>
      <c r="I837" s="73">
        <f t="shared" si="323"/>
        <v>-4558.1445204574011</v>
      </c>
      <c r="J837" s="73">
        <f t="shared" si="323"/>
        <v>-53912.807193784</v>
      </c>
      <c r="K837" s="73">
        <f t="shared" si="323"/>
        <v>-7446.9230793002562</v>
      </c>
      <c r="L837" s="73">
        <f t="shared" si="323"/>
        <v>-7291.1937272815776</v>
      </c>
      <c r="M837" s="73">
        <f t="shared" si="323"/>
        <v>-33349.202119984715</v>
      </c>
      <c r="N837" s="73">
        <f t="shared" si="323"/>
        <v>0</v>
      </c>
      <c r="O837" s="73">
        <f t="shared" si="323"/>
        <v>0</v>
      </c>
      <c r="P837" s="73">
        <f t="shared" si="323"/>
        <v>-17412.960529277923</v>
      </c>
      <c r="Q837" s="73">
        <f t="shared" si="323"/>
        <v>-2.5808005498772619</v>
      </c>
      <c r="R837" s="73">
        <f t="shared" si="323"/>
        <v>-144.33302642759244</v>
      </c>
      <c r="S837" s="73"/>
      <c r="T837" s="73">
        <f t="shared" si="320"/>
        <v>-834317.99999999977</v>
      </c>
      <c r="U837" s="61" t="str">
        <f t="shared" si="321"/>
        <v>ok</v>
      </c>
      <c r="V837" s="62" t="str">
        <f>IF(U837="err",T837-F837,"")</f>
        <v/>
      </c>
    </row>
    <row r="838" spans="1:22" ht="12" customHeight="1" x14ac:dyDescent="0.2">
      <c r="B838" s="55" t="s">
        <v>2723</v>
      </c>
      <c r="E838" s="55" t="s">
        <v>525</v>
      </c>
      <c r="F838" s="73">
        <v>-808453</v>
      </c>
      <c r="G838" s="73">
        <f t="shared" si="323"/>
        <v>-296767.25213705358</v>
      </c>
      <c r="H838" s="73">
        <f t="shared" si="323"/>
        <v>-113580.31220269078</v>
      </c>
      <c r="I838" s="73">
        <f t="shared" si="323"/>
        <v>-6954.2406998308024</v>
      </c>
      <c r="J838" s="73">
        <f t="shared" si="323"/>
        <v>-139063.34809427062</v>
      </c>
      <c r="K838" s="73">
        <f t="shared" si="323"/>
        <v>-32199.630445108567</v>
      </c>
      <c r="L838" s="73">
        <f t="shared" si="323"/>
        <v>-15772.092614876794</v>
      </c>
      <c r="M838" s="73">
        <f t="shared" si="323"/>
        <v>-126668.86955800421</v>
      </c>
      <c r="N838" s="73">
        <f t="shared" si="323"/>
        <v>-53650.988943525983</v>
      </c>
      <c r="O838" s="73">
        <f t="shared" si="323"/>
        <v>-9221.688890972704</v>
      </c>
      <c r="P838" s="73">
        <f t="shared" si="323"/>
        <v>-14506.209977893172</v>
      </c>
      <c r="Q838" s="73">
        <f t="shared" si="323"/>
        <v>-1.4088861501381837</v>
      </c>
      <c r="R838" s="73">
        <f t="shared" si="323"/>
        <v>-66.957549622647377</v>
      </c>
      <c r="S838" s="73"/>
      <c r="T838" s="73">
        <f t="shared" si="320"/>
        <v>-808453</v>
      </c>
      <c r="U838" s="61" t="str">
        <f t="shared" si="321"/>
        <v>ok</v>
      </c>
      <c r="V838" s="62" t="str">
        <f>IF(U838="err",T838-F838,"")</f>
        <v/>
      </c>
    </row>
    <row r="839" spans="1:22" ht="12" customHeight="1" x14ac:dyDescent="0.2">
      <c r="B839" s="55" t="s">
        <v>2725</v>
      </c>
      <c r="E839" s="55" t="s">
        <v>165</v>
      </c>
      <c r="F839" s="73">
        <v>-3328434</v>
      </c>
      <c r="G839" s="73">
        <f t="shared" si="323"/>
        <v>-1315068.1464933495</v>
      </c>
      <c r="H839" s="73">
        <f t="shared" si="323"/>
        <v>-390292.12292639556</v>
      </c>
      <c r="I839" s="73">
        <f t="shared" si="323"/>
        <v>-26845.956571466835</v>
      </c>
      <c r="J839" s="73">
        <f t="shared" si="323"/>
        <v>-506389.21615906147</v>
      </c>
      <c r="K839" s="73">
        <f t="shared" si="323"/>
        <v>-116123.55083794006</v>
      </c>
      <c r="L839" s="73">
        <f t="shared" si="323"/>
        <v>-79191.006339645959</v>
      </c>
      <c r="M839" s="73">
        <f t="shared" si="323"/>
        <v>-572148.47574131028</v>
      </c>
      <c r="N839" s="73">
        <f t="shared" si="323"/>
        <v>-242458.82274515228</v>
      </c>
      <c r="O839" s="73">
        <f t="shared" si="323"/>
        <v>-71824.408592845648</v>
      </c>
      <c r="P839" s="73">
        <f t="shared" si="323"/>
        <v>-7930.0847244205725</v>
      </c>
      <c r="Q839" s="73">
        <f t="shared" si="323"/>
        <v>-2.5787219576703349</v>
      </c>
      <c r="R839" s="73">
        <f t="shared" si="323"/>
        <v>-159.63014645415939</v>
      </c>
      <c r="S839" s="73"/>
      <c r="T839" s="73">
        <f t="shared" si="320"/>
        <v>-3328434.0000000005</v>
      </c>
      <c r="U839" s="61" t="str">
        <f t="shared" si="321"/>
        <v>ok</v>
      </c>
      <c r="V839" s="62"/>
    </row>
    <row r="840" spans="1:22" ht="12" customHeight="1" x14ac:dyDescent="0.2">
      <c r="B840" s="55" t="s">
        <v>329</v>
      </c>
      <c r="E840" s="55" t="s">
        <v>516</v>
      </c>
      <c r="F840" s="73">
        <v>-25313</v>
      </c>
      <c r="G840" s="73">
        <f t="shared" si="323"/>
        <v>-9802.014059209956</v>
      </c>
      <c r="H840" s="73">
        <f t="shared" si="323"/>
        <v>-3092.1074969177321</v>
      </c>
      <c r="I840" s="73">
        <f t="shared" si="323"/>
        <v>-217.29867641952521</v>
      </c>
      <c r="J840" s="73">
        <f t="shared" si="323"/>
        <v>-3876.3165738466</v>
      </c>
      <c r="K840" s="73">
        <f t="shared" si="323"/>
        <v>-872.33187010018094</v>
      </c>
      <c r="L840" s="73">
        <f t="shared" si="323"/>
        <v>-573.21900996555189</v>
      </c>
      <c r="M840" s="73">
        <f t="shared" si="323"/>
        <v>-4297.2187192100773</v>
      </c>
      <c r="N840" s="73">
        <f t="shared" si="323"/>
        <v>-1747.7841252848334</v>
      </c>
      <c r="O840" s="73">
        <f t="shared" si="323"/>
        <v>-557.87579475117354</v>
      </c>
      <c r="P840" s="73">
        <f t="shared" si="323"/>
        <v>-274.78118410092492</v>
      </c>
      <c r="Q840" s="73">
        <f t="shared" si="323"/>
        <v>-5.5309704416379731E-2</v>
      </c>
      <c r="R840" s="73">
        <f t="shared" si="323"/>
        <v>-1.9971804890247855</v>
      </c>
      <c r="S840" s="73"/>
      <c r="T840" s="73">
        <f t="shared" ref="T840:T848" si="324">SUM(G840:R840)</f>
        <v>-25312.999999999996</v>
      </c>
      <c r="U840" s="61" t="str">
        <f t="shared" si="321"/>
        <v>ok</v>
      </c>
      <c r="V840" s="405" t="str">
        <f>IF(U840="err",T840-F840,"")</f>
        <v/>
      </c>
    </row>
    <row r="841" spans="1:22" ht="12" customHeight="1" x14ac:dyDescent="0.2">
      <c r="B841" s="409" t="s">
        <v>2724</v>
      </c>
      <c r="E841" s="55" t="s">
        <v>294</v>
      </c>
      <c r="F841" s="73">
        <v>-1233028</v>
      </c>
      <c r="G841" s="73">
        <f t="shared" si="323"/>
        <v>-545337.3975843949</v>
      </c>
      <c r="H841" s="73">
        <f t="shared" si="323"/>
        <v>-155982.27069576492</v>
      </c>
      <c r="I841" s="73">
        <f t="shared" si="323"/>
        <v>-9335.100380748092</v>
      </c>
      <c r="J841" s="73">
        <f t="shared" si="323"/>
        <v>-164523.40826486933</v>
      </c>
      <c r="K841" s="73">
        <f t="shared" si="323"/>
        <v>-36683.022802303902</v>
      </c>
      <c r="L841" s="73">
        <f t="shared" si="323"/>
        <v>-25284.883707455538</v>
      </c>
      <c r="M841" s="73">
        <f t="shared" si="323"/>
        <v>-178015.20924274484</v>
      </c>
      <c r="N841" s="73">
        <f t="shared" si="323"/>
        <v>-69785.283565037826</v>
      </c>
      <c r="O841" s="73">
        <f t="shared" si="323"/>
        <v>-20585.316693289886</v>
      </c>
      <c r="P841" s="73">
        <f t="shared" si="323"/>
        <v>-27395.377547142667</v>
      </c>
      <c r="Q841" s="73">
        <f t="shared" si="323"/>
        <v>-1.708119929735052</v>
      </c>
      <c r="R841" s="73">
        <f t="shared" si="323"/>
        <v>-99.021396318498333</v>
      </c>
      <c r="S841" s="73"/>
      <c r="T841" s="73">
        <f t="shared" si="324"/>
        <v>-1233028.0000000002</v>
      </c>
      <c r="U841" s="61" t="str">
        <f t="shared" si="321"/>
        <v>ok</v>
      </c>
      <c r="V841" s="62" t="str">
        <f>IF(U841="err",T841-F841,"")</f>
        <v/>
      </c>
    </row>
    <row r="842" spans="1:22" ht="12" customHeight="1" x14ac:dyDescent="0.2">
      <c r="B842" s="55" t="s">
        <v>2383</v>
      </c>
      <c r="E842" s="55" t="s">
        <v>165</v>
      </c>
      <c r="F842" s="73">
        <v>-1509951</v>
      </c>
      <c r="G842" s="73">
        <f t="shared" si="323"/>
        <v>-596583.39713684563</v>
      </c>
      <c r="H842" s="73">
        <f t="shared" si="323"/>
        <v>-177056.8325238938</v>
      </c>
      <c r="I842" s="73">
        <f t="shared" si="323"/>
        <v>-12178.723979818413</v>
      </c>
      <c r="J842" s="73">
        <f t="shared" si="323"/>
        <v>-229724.52009821768</v>
      </c>
      <c r="K842" s="73">
        <f t="shared" si="323"/>
        <v>-52679.69012193074</v>
      </c>
      <c r="L842" s="73">
        <f t="shared" si="323"/>
        <v>-35925.164570952817</v>
      </c>
      <c r="M842" s="73">
        <f t="shared" si="323"/>
        <v>-259556.34484387166</v>
      </c>
      <c r="N842" s="73">
        <f t="shared" si="323"/>
        <v>-109991.94872509578</v>
      </c>
      <c r="O842" s="73">
        <f t="shared" si="323"/>
        <v>-32583.292196623363</v>
      </c>
      <c r="P842" s="73">
        <f t="shared" si="323"/>
        <v>-3597.4994125536418</v>
      </c>
      <c r="Q842" s="73">
        <f t="shared" si="323"/>
        <v>-1.1698425742274834</v>
      </c>
      <c r="R842" s="73">
        <f t="shared" si="323"/>
        <v>-72.416547622276539</v>
      </c>
      <c r="S842" s="73"/>
      <c r="T842" s="73">
        <f t="shared" si="324"/>
        <v>-1509950.9999999998</v>
      </c>
      <c r="U842" s="61" t="str">
        <f t="shared" si="321"/>
        <v>ok</v>
      </c>
      <c r="V842" s="62"/>
    </row>
    <row r="843" spans="1:22" ht="12" customHeight="1" x14ac:dyDescent="0.2">
      <c r="B843" s="55" t="s">
        <v>2385</v>
      </c>
      <c r="E843" s="55" t="s">
        <v>516</v>
      </c>
      <c r="F843" s="73">
        <v>47507</v>
      </c>
      <c r="G843" s="73">
        <f t="shared" si="323"/>
        <v>18396.250223635579</v>
      </c>
      <c r="H843" s="73">
        <f t="shared" si="323"/>
        <v>5803.2137974981506</v>
      </c>
      <c r="I843" s="73">
        <f t="shared" si="323"/>
        <v>407.82239247273668</v>
      </c>
      <c r="J843" s="73">
        <f t="shared" si="323"/>
        <v>7275.0038112325847</v>
      </c>
      <c r="K843" s="73">
        <f t="shared" si="323"/>
        <v>1637.1773457452414</v>
      </c>
      <c r="L843" s="73">
        <f t="shared" si="323"/>
        <v>1075.8075102292687</v>
      </c>
      <c r="M843" s="73">
        <f t="shared" si="323"/>
        <v>8064.9456679774485</v>
      </c>
      <c r="N843" s="73">
        <f t="shared" si="323"/>
        <v>3280.2109761745578</v>
      </c>
      <c r="O843" s="73">
        <f t="shared" si="323"/>
        <v>1047.0116296465849</v>
      </c>
      <c r="P843" s="73">
        <f t="shared" si="323"/>
        <v>515.70456734020627</v>
      </c>
      <c r="Q843" s="73">
        <f t="shared" si="323"/>
        <v>0.10380429533081625</v>
      </c>
      <c r="R843" s="73">
        <f t="shared" si="323"/>
        <v>3.7482737523051588</v>
      </c>
      <c r="S843" s="73"/>
      <c r="T843" s="73">
        <f t="shared" si="324"/>
        <v>47507.000000000007</v>
      </c>
      <c r="U843" s="61" t="str">
        <f t="shared" si="321"/>
        <v>ok</v>
      </c>
      <c r="V843" s="62" t="str">
        <f>IF(U843="err",T843-F843,"")</f>
        <v/>
      </c>
    </row>
    <row r="844" spans="1:22" ht="12" customHeight="1" x14ac:dyDescent="0.2">
      <c r="B844" s="55" t="s">
        <v>2278</v>
      </c>
      <c r="E844" s="55" t="s">
        <v>2367</v>
      </c>
      <c r="F844" s="73">
        <v>-2427596</v>
      </c>
      <c r="G844" s="502">
        <f t="shared" si="323"/>
        <v>115996.44275398637</v>
      </c>
      <c r="H844" s="73">
        <f t="shared" si="323"/>
        <v>-1272000.1094172448</v>
      </c>
      <c r="I844" s="73">
        <f t="shared" si="323"/>
        <v>18252.1433861162</v>
      </c>
      <c r="J844" s="73">
        <f t="shared" si="323"/>
        <v>-563649.83053542755</v>
      </c>
      <c r="K844" s="73">
        <f t="shared" si="323"/>
        <v>-1905438.3413183</v>
      </c>
      <c r="L844" s="73">
        <f t="shared" si="323"/>
        <v>1001502.8900835122</v>
      </c>
      <c r="M844" s="73">
        <f t="shared" si="323"/>
        <v>1360562.5170402869</v>
      </c>
      <c r="N844" s="73">
        <f t="shared" si="323"/>
        <v>-862593.65276026516</v>
      </c>
      <c r="O844" s="73">
        <f t="shared" si="323"/>
        <v>-325886.78463899263</v>
      </c>
      <c r="P844" s="73">
        <f t="shared" si="323"/>
        <v>3743.1132362060089</v>
      </c>
      <c r="Q844" s="73">
        <f t="shared" si="323"/>
        <v>5.2864828911255497</v>
      </c>
      <c r="R844" s="73">
        <f t="shared" si="323"/>
        <v>1910.3569927309268</v>
      </c>
      <c r="S844" s="73"/>
      <c r="T844" s="73">
        <f t="shared" si="324"/>
        <v>-2427595.9686945002</v>
      </c>
      <c r="U844" s="61" t="str">
        <f t="shared" si="321"/>
        <v>err</v>
      </c>
      <c r="V844" s="62"/>
    </row>
    <row r="845" spans="1:22" ht="12" customHeight="1" x14ac:dyDescent="0.2">
      <c r="B845" s="55" t="s">
        <v>2279</v>
      </c>
      <c r="E845" s="55" t="s">
        <v>1431</v>
      </c>
      <c r="F845" s="73">
        <v>145218</v>
      </c>
      <c r="G845" s="73">
        <f t="shared" si="323"/>
        <v>31602.162169114577</v>
      </c>
      <c r="H845" s="73">
        <f t="shared" si="323"/>
        <v>31201.081127166162</v>
      </c>
      <c r="I845" s="73">
        <f t="shared" si="323"/>
        <v>1344.1244553985175</v>
      </c>
      <c r="J845" s="73">
        <f t="shared" si="323"/>
        <v>39535.79588275445</v>
      </c>
      <c r="K845" s="73">
        <f t="shared" si="323"/>
        <v>9935.7862316231149</v>
      </c>
      <c r="L845" s="73">
        <f t="shared" si="323"/>
        <v>980.18343957977186</v>
      </c>
      <c r="M845" s="73">
        <f t="shared" si="323"/>
        <v>17121.654186094911</v>
      </c>
      <c r="N845" s="73">
        <f t="shared" si="323"/>
        <v>9384.2697420559271</v>
      </c>
      <c r="O845" s="73">
        <f t="shared" si="323"/>
        <v>-1302.4410020967882</v>
      </c>
      <c r="P845" s="73">
        <f t="shared" si="323"/>
        <v>5401.8319236718171</v>
      </c>
      <c r="Q845" s="73">
        <f t="shared" si="323"/>
        <v>5.6534892360985689E-2</v>
      </c>
      <c r="R845" s="73">
        <f t="shared" si="323"/>
        <v>13.495312316329008</v>
      </c>
      <c r="S845" s="73"/>
      <c r="T845" s="73">
        <f t="shared" si="324"/>
        <v>145218.00000257118</v>
      </c>
      <c r="U845" s="61" t="str">
        <f t="shared" si="321"/>
        <v>ok</v>
      </c>
      <c r="V845" s="62"/>
    </row>
    <row r="846" spans="1:22" ht="12" customHeight="1" x14ac:dyDescent="0.2">
      <c r="B846" s="403" t="s">
        <v>2792</v>
      </c>
      <c r="E846" s="55" t="s">
        <v>1431</v>
      </c>
      <c r="F846" s="73">
        <v>-331159</v>
      </c>
      <c r="G846" s="73">
        <f t="shared" si="323"/>
        <v>-72066.413404411403</v>
      </c>
      <c r="H846" s="73">
        <f t="shared" si="323"/>
        <v>-71151.777499973963</v>
      </c>
      <c r="I846" s="73">
        <f t="shared" si="323"/>
        <v>-3065.1772543714806</v>
      </c>
      <c r="J846" s="73">
        <f t="shared" si="323"/>
        <v>-90158.483306043883</v>
      </c>
      <c r="K846" s="73">
        <f t="shared" si="323"/>
        <v>-22657.831898787197</v>
      </c>
      <c r="L846" s="73">
        <f t="shared" si="323"/>
        <v>-2235.2364560026836</v>
      </c>
      <c r="M846" s="73">
        <f t="shared" si="323"/>
        <v>-39044.6768211448</v>
      </c>
      <c r="N846" s="73">
        <f t="shared" si="323"/>
        <v>-21400.138987656479</v>
      </c>
      <c r="O846" s="73">
        <f t="shared" si="323"/>
        <v>2970.1211958116091</v>
      </c>
      <c r="P846" s="73">
        <f t="shared" si="323"/>
        <v>-12318.481579495899</v>
      </c>
      <c r="Q846" s="73">
        <f t="shared" si="323"/>
        <v>-0.12892367626170076</v>
      </c>
      <c r="R846" s="73">
        <f t="shared" si="323"/>
        <v>-30.775070110889821</v>
      </c>
      <c r="S846" s="73"/>
      <c r="T846" s="73">
        <f>SUM(G846:R846)</f>
        <v>-331159.00000586332</v>
      </c>
      <c r="U846" s="61" t="str">
        <f t="shared" si="321"/>
        <v>ok</v>
      </c>
      <c r="V846" s="62"/>
    </row>
    <row r="847" spans="1:22" ht="12" customHeight="1" x14ac:dyDescent="0.2">
      <c r="B847" s="55" t="s">
        <v>2382</v>
      </c>
      <c r="E847" s="55" t="s">
        <v>1431</v>
      </c>
      <c r="F847" s="73">
        <v>-436228</v>
      </c>
      <c r="G847" s="73">
        <f t="shared" si="323"/>
        <v>-94931.399679850394</v>
      </c>
      <c r="H847" s="73">
        <f t="shared" si="323"/>
        <v>-93726.571209777307</v>
      </c>
      <c r="I847" s="73">
        <f t="shared" si="323"/>
        <v>-4037.6862574170177</v>
      </c>
      <c r="J847" s="73">
        <f t="shared" si="323"/>
        <v>-118763.65992054847</v>
      </c>
      <c r="K847" s="73">
        <f t="shared" si="323"/>
        <v>-29846.631658943712</v>
      </c>
      <c r="L847" s="73">
        <f t="shared" si="323"/>
        <v>-2944.4246682987282</v>
      </c>
      <c r="M847" s="73">
        <f t="shared" si="323"/>
        <v>-51432.638944840248</v>
      </c>
      <c r="N847" s="73">
        <f t="shared" si="323"/>
        <v>-28189.90222312367</v>
      </c>
      <c r="O847" s="73">
        <f t="shared" si="323"/>
        <v>3912.4711362412218</v>
      </c>
      <c r="P847" s="73">
        <f t="shared" si="323"/>
        <v>-16226.847473450327</v>
      </c>
      <c r="Q847" s="73">
        <f t="shared" si="323"/>
        <v>-0.16982814131063687</v>
      </c>
      <c r="R847" s="73">
        <f t="shared" si="323"/>
        <v>-40.53927957365871</v>
      </c>
      <c r="S847" s="73"/>
      <c r="T847" s="73">
        <f t="shared" si="324"/>
        <v>-436228.00000772363</v>
      </c>
      <c r="U847" s="61" t="str">
        <f t="shared" si="321"/>
        <v>ok</v>
      </c>
      <c r="V847" s="62"/>
    </row>
    <row r="848" spans="1:22" ht="12" customHeight="1" x14ac:dyDescent="0.2">
      <c r="A848" s="55" t="s">
        <v>1190</v>
      </c>
      <c r="F848" s="404">
        <f>SUM(F825:F847)</f>
        <v>-50823951</v>
      </c>
      <c r="G848" s="404">
        <f t="shared" ref="G848:R848" si="325">SUM(G825:G847)</f>
        <v>-22392925.18485428</v>
      </c>
      <c r="H848" s="404">
        <f t="shared" si="325"/>
        <v>-8401231.6256086137</v>
      </c>
      <c r="I848" s="404">
        <f t="shared" si="325"/>
        <v>-256494.39620683555</v>
      </c>
      <c r="J848" s="404">
        <f t="shared" si="325"/>
        <v>-7545540.4093777863</v>
      </c>
      <c r="K848" s="404">
        <f t="shared" si="325"/>
        <v>-3249763.4182831082</v>
      </c>
      <c r="L848" s="404">
        <f t="shared" si="325"/>
        <v>317878.19073201547</v>
      </c>
      <c r="M848" s="404">
        <f t="shared" si="325"/>
        <v>-5015126.031606812</v>
      </c>
      <c r="N848" s="404">
        <f t="shared" si="325"/>
        <v>-2996393.1100164759</v>
      </c>
      <c r="O848" s="404">
        <f t="shared" si="325"/>
        <v>-978669.25757924293</v>
      </c>
      <c r="P848" s="404">
        <f t="shared" si="325"/>
        <v>-311530.95241224236</v>
      </c>
      <c r="Q848" s="404">
        <f t="shared" si="325"/>
        <v>-46.400889084966188</v>
      </c>
      <c r="R848" s="404">
        <f t="shared" si="325"/>
        <v>5891.7359269685076</v>
      </c>
      <c r="S848" s="404"/>
      <c r="T848" s="404">
        <f t="shared" si="324"/>
        <v>-50823950.860175483</v>
      </c>
      <c r="U848" s="61" t="str">
        <f t="shared" si="321"/>
        <v>err</v>
      </c>
      <c r="V848" s="405">
        <f>IF(U848="err",T848-F848,"")</f>
        <v>0.1398245170712471</v>
      </c>
    </row>
    <row r="849" spans="1:30" ht="12" customHeight="1" x14ac:dyDescent="0.2">
      <c r="F849" s="73"/>
      <c r="G849" s="73"/>
      <c r="H849" s="73"/>
      <c r="I849" s="73"/>
      <c r="J849" s="73"/>
      <c r="K849" s="73"/>
      <c r="L849" s="73"/>
      <c r="M849" s="73"/>
      <c r="N849" s="73"/>
      <c r="O849" s="73"/>
      <c r="P849" s="73"/>
      <c r="Q849" s="73"/>
      <c r="R849" s="73"/>
      <c r="S849" s="73"/>
      <c r="T849" s="62"/>
      <c r="U849" s="61"/>
      <c r="V849" s="405"/>
    </row>
    <row r="850" spans="1:30" ht="12" customHeight="1" x14ac:dyDescent="0.2">
      <c r="F850" s="73"/>
      <c r="G850" s="73"/>
      <c r="H850" s="73"/>
      <c r="I850" s="73"/>
      <c r="J850" s="73"/>
      <c r="K850" s="73"/>
      <c r="L850" s="73"/>
      <c r="M850" s="73"/>
      <c r="N850" s="73"/>
      <c r="O850" s="73"/>
      <c r="P850" s="73"/>
      <c r="Q850" s="73"/>
      <c r="R850" s="73"/>
      <c r="S850" s="73"/>
      <c r="T850" s="62"/>
      <c r="U850" s="61"/>
      <c r="V850" s="405"/>
      <c r="AB850" s="431"/>
      <c r="AC850" s="431"/>
      <c r="AD850" s="431"/>
    </row>
    <row r="851" spans="1:30" ht="12" customHeight="1" x14ac:dyDescent="0.2">
      <c r="F851" s="410"/>
      <c r="G851" s="410"/>
      <c r="T851" s="62"/>
      <c r="U851" s="61"/>
    </row>
    <row r="852" spans="1:30" ht="12" customHeight="1" x14ac:dyDescent="0.2">
      <c r="A852" s="55" t="s">
        <v>533</v>
      </c>
      <c r="D852" s="55" t="s">
        <v>490</v>
      </c>
      <c r="F852" s="62">
        <f t="shared" ref="F852:R852" si="326">SUM(F814:F847)</f>
        <v>1088504045.0526221</v>
      </c>
      <c r="G852" s="62">
        <f t="shared" si="326"/>
        <v>416227431.02635771</v>
      </c>
      <c r="H852" s="62">
        <f t="shared" si="326"/>
        <v>140557511.73265368</v>
      </c>
      <c r="I852" s="62">
        <f t="shared" si="326"/>
        <v>9437318.5148274153</v>
      </c>
      <c r="J852" s="62">
        <f t="shared" si="326"/>
        <v>174764617.9877862</v>
      </c>
      <c r="K852" s="62">
        <f t="shared" si="326"/>
        <v>38312403.257551461</v>
      </c>
      <c r="L852" s="62">
        <f t="shared" si="326"/>
        <v>24428201.495093353</v>
      </c>
      <c r="M852" s="62">
        <f t="shared" si="326"/>
        <v>179775173.24295929</v>
      </c>
      <c r="N852" s="62">
        <f t="shared" si="326"/>
        <v>73383184.766783997</v>
      </c>
      <c r="O852" s="62">
        <f t="shared" si="326"/>
        <v>15056452.735714616</v>
      </c>
      <c r="P852" s="62">
        <f t="shared" si="326"/>
        <v>16462448.257908775</v>
      </c>
      <c r="Q852" s="62">
        <f t="shared" si="326"/>
        <v>2132.5075898625742</v>
      </c>
      <c r="R852" s="62">
        <f t="shared" si="326"/>
        <v>97169.668807775073</v>
      </c>
      <c r="S852" s="62"/>
      <c r="T852" s="62">
        <f>SUM(G852:R852)</f>
        <v>1088504045.1940339</v>
      </c>
      <c r="U852" s="61" t="str">
        <f>IF(ABS(F852-T852)&lt;0.01,"ok","err")</f>
        <v>err</v>
      </c>
      <c r="V852" s="405">
        <f>IF(U852="err",T852-F852,"")</f>
        <v>0.14141178131103516</v>
      </c>
      <c r="AB852" s="432"/>
      <c r="AC852" s="432"/>
      <c r="AD852" s="407"/>
    </row>
    <row r="853" spans="1:30" ht="12" customHeight="1" x14ac:dyDescent="0.2">
      <c r="AB853" s="433"/>
      <c r="AC853" s="433"/>
      <c r="AD853" s="407"/>
    </row>
    <row r="854" spans="1:30" ht="12" customHeight="1" x14ac:dyDescent="0.2">
      <c r="A854" s="55" t="s">
        <v>1176</v>
      </c>
      <c r="F854" s="62">
        <f t="shared" ref="F854:R854" si="327">F809-F852</f>
        <v>199192490.64405942</v>
      </c>
      <c r="G854" s="62">
        <f t="shared" si="327"/>
        <v>58052485.467379212</v>
      </c>
      <c r="H854" s="62">
        <f t="shared" si="327"/>
        <v>36242699.58554095</v>
      </c>
      <c r="I854" s="62">
        <f t="shared" si="327"/>
        <v>1811380.2445109617</v>
      </c>
      <c r="J854" s="62">
        <f t="shared" si="327"/>
        <v>46028930.133642733</v>
      </c>
      <c r="K854" s="62">
        <f t="shared" si="327"/>
        <v>8303786.3456791341</v>
      </c>
      <c r="L854" s="62">
        <f t="shared" si="327"/>
        <v>3910529.1885062717</v>
      </c>
      <c r="M854" s="62">
        <f t="shared" si="327"/>
        <v>27822702.63683787</v>
      </c>
      <c r="N854" s="62">
        <f t="shared" si="327"/>
        <v>11128274.599638611</v>
      </c>
      <c r="O854" s="62">
        <f t="shared" si="327"/>
        <v>-862752.48338048719</v>
      </c>
      <c r="P854" s="62">
        <f t="shared" si="327"/>
        <v>6732828.6740283798</v>
      </c>
      <c r="Q854" s="62">
        <f t="shared" si="327"/>
        <v>152.07438289140782</v>
      </c>
      <c r="R854" s="62">
        <f t="shared" si="327"/>
        <v>21474.233719328084</v>
      </c>
      <c r="S854" s="62"/>
      <c r="T854" s="62">
        <f>T809-T852</f>
        <v>199192490.70048642</v>
      </c>
      <c r="U854" s="61" t="str">
        <f>IF(ABS(F854-T854)&lt;0.01,"ok","err")</f>
        <v>err</v>
      </c>
      <c r="V854" s="405">
        <f>IF(U854="err",T854-F854,"")</f>
        <v>5.6427001953125E-2</v>
      </c>
      <c r="Y854" s="408"/>
      <c r="AB854" s="433"/>
      <c r="AC854" s="433"/>
      <c r="AD854" s="407"/>
    </row>
    <row r="855" spans="1:30" ht="12" customHeight="1" x14ac:dyDescent="0.2">
      <c r="Y855" s="409"/>
      <c r="AB855" s="433"/>
      <c r="AC855" s="433"/>
      <c r="AD855" s="407"/>
    </row>
    <row r="856" spans="1:30" ht="12" customHeight="1" x14ac:dyDescent="0.2">
      <c r="A856" s="171" t="s">
        <v>512</v>
      </c>
      <c r="F856" s="62">
        <f t="shared" ref="F856:R856" si="328">F686</f>
        <v>3500935145.9468822</v>
      </c>
      <c r="G856" s="62">
        <f t="shared" si="328"/>
        <v>1548738985.592149</v>
      </c>
      <c r="H856" s="62">
        <f t="shared" si="328"/>
        <v>443688101.28910929</v>
      </c>
      <c r="I856" s="62">
        <f t="shared" si="328"/>
        <v>26545088.772189468</v>
      </c>
      <c r="J856" s="62">
        <f t="shared" si="328"/>
        <v>466728220.29690921</v>
      </c>
      <c r="K856" s="62">
        <f t="shared" si="328"/>
        <v>103973077.01513284</v>
      </c>
      <c r="L856" s="62">
        <f t="shared" si="328"/>
        <v>71596666.097154915</v>
      </c>
      <c r="M856" s="62">
        <f t="shared" si="328"/>
        <v>504468963.40468323</v>
      </c>
      <c r="N856" s="62">
        <f t="shared" si="328"/>
        <v>197373813.70709348</v>
      </c>
      <c r="O856" s="62">
        <f t="shared" si="328"/>
        <v>58364474.805565506</v>
      </c>
      <c r="P856" s="62">
        <f t="shared" si="328"/>
        <v>79167563.99216941</v>
      </c>
      <c r="Q856" s="62">
        <f t="shared" si="328"/>
        <v>4998.5494176755246</v>
      </c>
      <c r="R856" s="62">
        <f t="shared" si="328"/>
        <v>285192.4253095552</v>
      </c>
      <c r="S856" s="62"/>
      <c r="T856" s="62">
        <f>SUM(G856:R856)</f>
        <v>3500935145.9468832</v>
      </c>
      <c r="U856" s="61" t="str">
        <f>IF(ABS(F856-T856)&lt;0.01,"ok","err")</f>
        <v>ok</v>
      </c>
      <c r="V856" s="405" t="str">
        <f>IF(U856="err",T856-F856,"")</f>
        <v/>
      </c>
      <c r="AB856" s="433"/>
      <c r="AC856" s="433"/>
      <c r="AD856" s="407"/>
    </row>
    <row r="857" spans="1:30" ht="12" customHeight="1" x14ac:dyDescent="0.2">
      <c r="A857" s="171" t="s">
        <v>2726</v>
      </c>
      <c r="E857" s="55" t="s">
        <v>503</v>
      </c>
      <c r="F857" s="62">
        <v>-183667066</v>
      </c>
      <c r="G857" s="404">
        <f t="shared" ref="G857:R859" si="329">IF(VLOOKUP($E857,$D$5:$AH$1244,3,)=0,0,(VLOOKUP($E857,$D$5:$AH$1244,G$1,)/VLOOKUP($E857,$D$5:$AH$1244,3,))*$F857)</f>
        <v>-72567071.498636216</v>
      </c>
      <c r="H857" s="404">
        <f t="shared" si="329"/>
        <v>-21536797.515228607</v>
      </c>
      <c r="I857" s="404">
        <f t="shared" si="329"/>
        <v>-1481392.774333135</v>
      </c>
      <c r="J857" s="404">
        <f t="shared" si="329"/>
        <v>-27943177.357872996</v>
      </c>
      <c r="K857" s="404">
        <f t="shared" si="329"/>
        <v>-6407839.8057183335</v>
      </c>
      <c r="L857" s="404">
        <f t="shared" si="329"/>
        <v>-4369856.7518509235</v>
      </c>
      <c r="M857" s="404">
        <f t="shared" si="329"/>
        <v>-31571853.867548116</v>
      </c>
      <c r="N857" s="404">
        <f t="shared" si="329"/>
        <v>-13379174.891079769</v>
      </c>
      <c r="O857" s="404">
        <f t="shared" si="329"/>
        <v>-3963358.862886616</v>
      </c>
      <c r="P857" s="404">
        <f t="shared" si="329"/>
        <v>-437591.79075377353</v>
      </c>
      <c r="Q857" s="404">
        <f t="shared" si="329"/>
        <v>-142.29703698348433</v>
      </c>
      <c r="R857" s="404">
        <f t="shared" si="329"/>
        <v>-8808.587054568532</v>
      </c>
      <c r="S857" s="404"/>
      <c r="T857" s="62">
        <f>SUM(G857:R857)</f>
        <v>-183667066</v>
      </c>
      <c r="U857" s="61" t="str">
        <f>IF(ABS(F857-T857)&lt;0.01,"ok","err")</f>
        <v>ok</v>
      </c>
      <c r="V857" s="405"/>
      <c r="AB857" s="433"/>
      <c r="AC857" s="433"/>
      <c r="AD857" s="407"/>
    </row>
    <row r="858" spans="1:30" ht="12" customHeight="1" x14ac:dyDescent="0.2">
      <c r="A858" s="171" t="s">
        <v>716</v>
      </c>
      <c r="E858" s="55" t="s">
        <v>2144</v>
      </c>
      <c r="F858" s="62">
        <f>-712846</f>
        <v>-712846</v>
      </c>
      <c r="G858" s="404">
        <f t="shared" si="329"/>
        <v>-313273.47820920759</v>
      </c>
      <c r="H858" s="404">
        <f t="shared" si="329"/>
        <v>-89779.402471700902</v>
      </c>
      <c r="I858" s="404">
        <f t="shared" si="329"/>
        <v>-5417.6053753347715</v>
      </c>
      <c r="J858" s="404">
        <f t="shared" si="329"/>
        <v>-95914.529731819799</v>
      </c>
      <c r="K858" s="404">
        <f t="shared" si="329"/>
        <v>-21426.753604648879</v>
      </c>
      <c r="L858" s="404">
        <f t="shared" si="329"/>
        <v>-14758.17352568915</v>
      </c>
      <c r="M858" s="404">
        <f t="shared" si="329"/>
        <v>-104090.66191937409</v>
      </c>
      <c r="N858" s="404">
        <f t="shared" si="329"/>
        <v>-41038.591356043355</v>
      </c>
      <c r="O858" s="404">
        <f t="shared" si="329"/>
        <v>-12109.492135171973</v>
      </c>
      <c r="P858" s="404">
        <f t="shared" si="329"/>
        <v>-14981.040157575884</v>
      </c>
      <c r="Q858" s="404">
        <f t="shared" si="329"/>
        <v>-0.98627911870430862</v>
      </c>
      <c r="R858" s="404">
        <f t="shared" si="329"/>
        <v>-55.285234314965031</v>
      </c>
      <c r="S858" s="404"/>
      <c r="T858" s="62">
        <f>SUM(G858:R858)</f>
        <v>-712846.00000000023</v>
      </c>
      <c r="U858" s="61" t="str">
        <f>IF(ABS(F858-T858)&lt;0.01,"ok","err")</f>
        <v>ok</v>
      </c>
      <c r="V858" s="405"/>
      <c r="AB858" s="433"/>
      <c r="AC858" s="433"/>
      <c r="AD858" s="407"/>
    </row>
    <row r="859" spans="1:30" ht="12" customHeight="1" x14ac:dyDescent="0.2">
      <c r="A859" s="171" t="s">
        <v>717</v>
      </c>
      <c r="E859" s="55" t="s">
        <v>639</v>
      </c>
      <c r="F859" s="62">
        <v>-5709964</v>
      </c>
      <c r="G859" s="404">
        <f t="shared" si="329"/>
        <v>-2958889.8176301275</v>
      </c>
      <c r="H859" s="404">
        <f t="shared" si="329"/>
        <v>-911469.37894518499</v>
      </c>
      <c r="I859" s="404">
        <f t="shared" si="329"/>
        <v>-45320.762708491107</v>
      </c>
      <c r="J859" s="404">
        <f t="shared" si="329"/>
        <v>-603078.98230152158</v>
      </c>
      <c r="K859" s="404">
        <f t="shared" si="329"/>
        <v>-126906.44626029632</v>
      </c>
      <c r="L859" s="404">
        <f t="shared" si="329"/>
        <v>-88797.217369522506</v>
      </c>
      <c r="M859" s="404">
        <f t="shared" si="329"/>
        <v>-587414.41575076978</v>
      </c>
      <c r="N859" s="404">
        <f t="shared" si="329"/>
        <v>-209546.71540342199</v>
      </c>
      <c r="O859" s="404">
        <f t="shared" si="329"/>
        <v>-60380.69805094898</v>
      </c>
      <c r="P859" s="404">
        <f t="shared" si="329"/>
        <v>-117472.21951822848</v>
      </c>
      <c r="Q859" s="404">
        <f t="shared" si="329"/>
        <v>-11.513185059237607</v>
      </c>
      <c r="R859" s="404">
        <f t="shared" si="329"/>
        <v>-675.83287642542939</v>
      </c>
      <c r="S859" s="404"/>
      <c r="T859" s="62">
        <f>SUM(G859:R859)</f>
        <v>-5709963.9999999981</v>
      </c>
      <c r="U859" s="61" t="str">
        <f>IF(ABS(F859-T859)&lt;0.01,"ok","err")</f>
        <v>ok</v>
      </c>
      <c r="V859" s="405"/>
      <c r="AB859" s="433"/>
      <c r="AC859" s="433"/>
      <c r="AD859" s="407"/>
    </row>
    <row r="860" spans="1:30" ht="12" customHeight="1" x14ac:dyDescent="0.2">
      <c r="A860" s="46" t="s">
        <v>880</v>
      </c>
      <c r="B860" s="47"/>
      <c r="C860" s="47"/>
      <c r="D860" s="47"/>
      <c r="E860" s="47"/>
      <c r="F860" s="51">
        <f t="shared" ref="F860:S860" si="330">SUM(F856:F859)</f>
        <v>3310845269.9468822</v>
      </c>
      <c r="G860" s="51">
        <f t="shared" si="330"/>
        <v>1472899750.7976735</v>
      </c>
      <c r="H860" s="51">
        <f t="shared" si="330"/>
        <v>421150054.99246377</v>
      </c>
      <c r="I860" s="51">
        <f t="shared" si="330"/>
        <v>25012957.629772507</v>
      </c>
      <c r="J860" s="62">
        <f t="shared" si="330"/>
        <v>438086049.42700285</v>
      </c>
      <c r="K860" s="62">
        <f t="shared" si="330"/>
        <v>97416904.009549558</v>
      </c>
      <c r="L860" s="62">
        <f t="shared" si="330"/>
        <v>67123253.95440878</v>
      </c>
      <c r="M860" s="62">
        <f t="shared" si="330"/>
        <v>472205604.45946503</v>
      </c>
      <c r="N860" s="62">
        <f t="shared" si="330"/>
        <v>183744053.50925425</v>
      </c>
      <c r="O860" s="51">
        <f t="shared" si="330"/>
        <v>54328625.752492771</v>
      </c>
      <c r="P860" s="51">
        <f t="shared" si="330"/>
        <v>78597518.941739842</v>
      </c>
      <c r="Q860" s="51">
        <f t="shared" si="330"/>
        <v>4843.7529165140977</v>
      </c>
      <c r="R860" s="51">
        <f t="shared" si="330"/>
        <v>275652.7201442463</v>
      </c>
      <c r="S860" s="51">
        <f t="shared" si="330"/>
        <v>0</v>
      </c>
      <c r="T860" s="62">
        <f>SUM(G860:R860)</f>
        <v>3310845269.9468837</v>
      </c>
      <c r="U860" s="61" t="str">
        <f>IF(ABS(F860-T860)&lt;0.01,"ok","err")</f>
        <v>ok</v>
      </c>
      <c r="V860" s="405" t="str">
        <f>IF(U860="err",T860-F860,"")</f>
        <v/>
      </c>
      <c r="AB860" s="433"/>
      <c r="AC860" s="433"/>
      <c r="AD860" s="407"/>
    </row>
    <row r="861" spans="1:30" ht="12" customHeight="1" thickBot="1" x14ac:dyDescent="0.25">
      <c r="AB861" s="431"/>
      <c r="AC861" s="431"/>
    </row>
    <row r="862" spans="1:30" ht="17.25" customHeight="1" thickBot="1" x14ac:dyDescent="0.25">
      <c r="A862" s="434" t="s">
        <v>534</v>
      </c>
      <c r="B862" s="435"/>
      <c r="C862" s="435"/>
      <c r="D862" s="435"/>
      <c r="E862" s="435"/>
      <c r="F862" s="436">
        <f t="shared" ref="F862:R862" si="331">F854/F860</f>
        <v>6.0163636293173908E-2</v>
      </c>
      <c r="G862" s="436">
        <f t="shared" si="331"/>
        <v>3.9413738400009855E-2</v>
      </c>
      <c r="H862" s="436">
        <f t="shared" si="331"/>
        <v>8.6056499710511714E-2</v>
      </c>
      <c r="I862" s="436">
        <f t="shared" si="331"/>
        <v>7.2417675323405414E-2</v>
      </c>
      <c r="J862" s="436">
        <f t="shared" si="331"/>
        <v>0.10506823988996349</v>
      </c>
      <c r="K862" s="436">
        <f t="shared" si="331"/>
        <v>8.5239686377891186E-2</v>
      </c>
      <c r="L862" s="436">
        <f t="shared" si="331"/>
        <v>5.8258933501083958E-2</v>
      </c>
      <c r="M862" s="436">
        <f t="shared" si="331"/>
        <v>5.8920737860971788E-2</v>
      </c>
      <c r="N862" s="436">
        <f t="shared" si="331"/>
        <v>6.0563998600793562E-2</v>
      </c>
      <c r="O862" s="436">
        <f t="shared" si="331"/>
        <v>-1.5880255968758816E-2</v>
      </c>
      <c r="P862" s="436">
        <f t="shared" si="331"/>
        <v>8.5662101866333301E-2</v>
      </c>
      <c r="Q862" s="436">
        <f t="shared" si="331"/>
        <v>3.1395982725074913E-2</v>
      </c>
      <c r="R862" s="436">
        <f t="shared" si="331"/>
        <v>7.7903217164303082E-2</v>
      </c>
      <c r="S862" s="436"/>
      <c r="T862" s="436">
        <f>T854/T860</f>
        <v>6.0163636310216963E-2</v>
      </c>
      <c r="U862" s="436"/>
      <c r="V862" s="436"/>
      <c r="AB862" s="432"/>
      <c r="AC862" s="432"/>
      <c r="AD862" s="407"/>
    </row>
    <row r="863" spans="1:30" ht="13.5" customHeight="1" x14ac:dyDescent="0.2">
      <c r="A863" s="173"/>
      <c r="B863" s="173"/>
      <c r="C863" s="173"/>
      <c r="D863" s="173"/>
      <c r="E863" s="173"/>
      <c r="F863" s="411"/>
      <c r="G863" s="411"/>
      <c r="H863" s="411"/>
      <c r="I863" s="411"/>
      <c r="J863" s="411"/>
      <c r="K863" s="411"/>
      <c r="L863" s="411"/>
      <c r="M863" s="411"/>
      <c r="N863" s="411"/>
      <c r="O863" s="411"/>
      <c r="P863" s="411"/>
      <c r="Q863" s="411"/>
      <c r="R863" s="411"/>
      <c r="S863" s="411"/>
      <c r="T863" s="411"/>
      <c r="U863" s="411"/>
      <c r="V863" s="411"/>
      <c r="AB863" s="432"/>
      <c r="AC863" s="432"/>
      <c r="AD863" s="407"/>
    </row>
    <row r="864" spans="1:30" s="438" customFormat="1" ht="12" hidden="1" customHeight="1" x14ac:dyDescent="0.2">
      <c r="A864" s="437" t="s">
        <v>2807</v>
      </c>
      <c r="Q864" s="439" t="e">
        <f>SUM(Q850:S850)/SUM(Q861:S861)</f>
        <v>#DIV/0!</v>
      </c>
    </row>
    <row r="865" spans="1:30" ht="12" hidden="1" customHeight="1" x14ac:dyDescent="0.2">
      <c r="A865" s="173"/>
      <c r="B865" s="173"/>
      <c r="C865" s="173"/>
      <c r="D865" s="173"/>
      <c r="E865" s="173"/>
      <c r="F865" s="411"/>
      <c r="G865" s="411"/>
      <c r="H865" s="411"/>
      <c r="I865" s="411"/>
      <c r="J865" s="411"/>
      <c r="K865" s="411"/>
      <c r="L865" s="411"/>
      <c r="M865" s="411"/>
      <c r="N865" s="411"/>
      <c r="O865" s="411"/>
      <c r="P865" s="411"/>
      <c r="Q865" s="411"/>
      <c r="R865" s="411"/>
      <c r="S865" s="411"/>
      <c r="T865" s="411"/>
      <c r="U865" s="411"/>
      <c r="V865" s="411"/>
      <c r="AB865" s="432"/>
      <c r="AC865" s="432"/>
      <c r="AD865" s="407"/>
    </row>
    <row r="866" spans="1:30" ht="12" hidden="1" customHeight="1" x14ac:dyDescent="0.2">
      <c r="A866" s="173"/>
      <c r="B866" s="173" t="s">
        <v>2368</v>
      </c>
      <c r="C866" s="173"/>
      <c r="D866" s="173"/>
      <c r="E866" s="173"/>
      <c r="F866" s="411"/>
      <c r="G866" s="440">
        <f t="shared" ref="G866:O866" si="332">G651/G1119</f>
        <v>7.9762482737054663E-2</v>
      </c>
      <c r="H866" s="440">
        <f t="shared" si="332"/>
        <v>9.3393347199802842E-2</v>
      </c>
      <c r="I866" s="440">
        <f t="shared" si="332"/>
        <v>7.0529910766034792E-2</v>
      </c>
      <c r="J866" s="440">
        <f t="shared" si="332"/>
        <v>7.237905832133372E-2</v>
      </c>
      <c r="K866" s="440">
        <f t="shared" si="332"/>
        <v>6.4113795192385012E-2</v>
      </c>
      <c r="L866" s="440">
        <f t="shared" si="332"/>
        <v>6.0998203433964691E-2</v>
      </c>
      <c r="M866" s="440">
        <f t="shared" si="332"/>
        <v>5.6972703408922479E-2</v>
      </c>
      <c r="N866" s="440">
        <f t="shared" si="332"/>
        <v>5.3298523956291921E-2</v>
      </c>
      <c r="O866" s="440">
        <f t="shared" si="332"/>
        <v>2.6970975089141924E-2</v>
      </c>
      <c r="P866" s="411"/>
      <c r="Q866" s="411"/>
      <c r="R866" s="411"/>
      <c r="S866" s="411"/>
      <c r="T866" s="411"/>
      <c r="U866" s="411"/>
      <c r="V866" s="411"/>
      <c r="AB866" s="432"/>
      <c r="AC866" s="432"/>
      <c r="AD866" s="407"/>
    </row>
    <row r="867" spans="1:30" ht="12" hidden="1" customHeight="1" x14ac:dyDescent="0.2">
      <c r="A867" s="173"/>
      <c r="B867" s="173" t="s">
        <v>2361</v>
      </c>
      <c r="C867" s="173"/>
      <c r="D867" s="173"/>
      <c r="E867" s="173"/>
      <c r="F867" s="411"/>
      <c r="G867" s="441">
        <f>G1119/G1125</f>
        <v>1178.5128522478201</v>
      </c>
      <c r="H867" s="441">
        <f t="shared" ref="H867:O867" si="333">H1119/H1125</f>
        <v>1972.2382503877291</v>
      </c>
      <c r="I867" s="441">
        <f t="shared" si="333"/>
        <v>20512.680078124999</v>
      </c>
      <c r="J867" s="441">
        <f t="shared" si="333"/>
        <v>45413.60709213563</v>
      </c>
      <c r="K867" s="441">
        <f t="shared" si="333"/>
        <v>225148.44360269362</v>
      </c>
      <c r="L867" s="441">
        <f t="shared" si="333"/>
        <v>251291.44525547445</v>
      </c>
      <c r="M867" s="441">
        <f t="shared" si="333"/>
        <v>1783285.9001004016</v>
      </c>
      <c r="N867" s="441">
        <f t="shared" si="333"/>
        <v>3722940.0740740742</v>
      </c>
      <c r="O867" s="441">
        <f t="shared" si="333"/>
        <v>45523937.166666664</v>
      </c>
      <c r="P867" s="411"/>
      <c r="Q867" s="411"/>
      <c r="R867" s="411"/>
      <c r="S867" s="411"/>
      <c r="T867" s="411"/>
      <c r="U867" s="411"/>
      <c r="V867" s="411"/>
      <c r="AB867" s="432"/>
      <c r="AC867" s="432"/>
      <c r="AD867" s="407"/>
    </row>
    <row r="868" spans="1:30" ht="12" hidden="1" customHeight="1" x14ac:dyDescent="0.2">
      <c r="A868" s="173"/>
      <c r="B868" s="173" t="s">
        <v>2362</v>
      </c>
      <c r="C868" s="173"/>
      <c r="D868" s="173"/>
      <c r="E868" s="173"/>
      <c r="F868" s="411"/>
      <c r="G868" s="411">
        <f t="shared" ref="G868:O868" si="334">G1119/(G1151*8760)</f>
        <v>0.43201265769382785</v>
      </c>
      <c r="H868" s="411">
        <f t="shared" si="334"/>
        <v>0.51132539624716988</v>
      </c>
      <c r="I868" s="411">
        <f t="shared" si="334"/>
        <v>0.61490477504435292</v>
      </c>
      <c r="J868" s="411">
        <f t="shared" si="334"/>
        <v>0.80397718123325579</v>
      </c>
      <c r="K868" s="411">
        <f t="shared" si="334"/>
        <v>0.9464178212233908</v>
      </c>
      <c r="L868" s="411">
        <f t="shared" si="334"/>
        <v>0.72750418207207312</v>
      </c>
      <c r="M868" s="411">
        <f t="shared" si="334"/>
        <v>0.78018285562177159</v>
      </c>
      <c r="N868" s="411">
        <f t="shared" si="334"/>
        <v>0.79281353035908853</v>
      </c>
      <c r="O868" s="411">
        <f t="shared" si="334"/>
        <v>1.1002737246153074</v>
      </c>
      <c r="P868" s="411"/>
      <c r="Q868" s="411"/>
      <c r="R868" s="411"/>
      <c r="S868" s="411"/>
      <c r="T868" s="411"/>
      <c r="U868" s="411"/>
      <c r="V868" s="411"/>
      <c r="AB868" s="432"/>
      <c r="AC868" s="432"/>
      <c r="AD868" s="407"/>
    </row>
    <row r="869" spans="1:30" ht="12" hidden="1" customHeight="1" x14ac:dyDescent="0.2">
      <c r="A869" s="173"/>
      <c r="B869" s="173" t="s">
        <v>2363</v>
      </c>
      <c r="C869" s="173"/>
      <c r="D869" s="173"/>
      <c r="E869" s="173"/>
      <c r="F869" s="411"/>
      <c r="G869" s="411">
        <f t="shared" ref="G869:O869" si="335">G1119/(G1150*8760)</f>
        <v>0.4847102306033878</v>
      </c>
      <c r="H869" s="411">
        <f t="shared" si="335"/>
        <v>0.52200112228562601</v>
      </c>
      <c r="I869" s="411">
        <f t="shared" si="335"/>
        <v>0.74110960121789304</v>
      </c>
      <c r="J869" s="411">
        <f t="shared" si="335"/>
        <v>0.63576654956824985</v>
      </c>
      <c r="K869" s="411">
        <f t="shared" si="335"/>
        <v>0.65634334792264792</v>
      </c>
      <c r="L869" s="411">
        <f t="shared" si="335"/>
        <v>0.54680427893303507</v>
      </c>
      <c r="M869" s="411">
        <f t="shared" si="335"/>
        <v>0.70679004174345161</v>
      </c>
      <c r="N869" s="411">
        <f t="shared" si="335"/>
        <v>0.759742239827633</v>
      </c>
      <c r="O869" s="411">
        <f t="shared" si="335"/>
        <v>0.83281718937952942</v>
      </c>
      <c r="P869" s="411"/>
      <c r="Q869" s="411"/>
      <c r="R869" s="411"/>
      <c r="S869" s="411"/>
      <c r="T869" s="411"/>
      <c r="U869" s="411"/>
      <c r="V869" s="411"/>
      <c r="AB869" s="432"/>
      <c r="AC869" s="432"/>
      <c r="AD869" s="407"/>
    </row>
    <row r="870" spans="1:30" ht="12" hidden="1" customHeight="1" x14ac:dyDescent="0.2">
      <c r="A870" s="173"/>
      <c r="B870" s="173" t="s">
        <v>2364</v>
      </c>
      <c r="C870" s="173"/>
      <c r="D870" s="173"/>
      <c r="E870" s="173"/>
      <c r="F870" s="411"/>
      <c r="G870" s="411">
        <f>G1119/(G1146*8760)</f>
        <v>0.38761984447490255</v>
      </c>
      <c r="H870" s="411">
        <f t="shared" ref="H870:O870" si="336">H1119/(H1146*8760)</f>
        <v>0.41326654228375914</v>
      </c>
      <c r="I870" s="411">
        <f t="shared" si="336"/>
        <v>0.35579203632595741</v>
      </c>
      <c r="J870" s="411">
        <f t="shared" si="336"/>
        <v>0.59125546443421095</v>
      </c>
      <c r="K870" s="411">
        <f t="shared" si="336"/>
        <v>0.61972668212579696</v>
      </c>
      <c r="L870" s="411">
        <f t="shared" si="336"/>
        <v>0.53794644347740639</v>
      </c>
      <c r="M870" s="411">
        <f t="shared" si="336"/>
        <v>0.60149176379918601</v>
      </c>
      <c r="N870" s="411">
        <f t="shared" si="336"/>
        <v>0.66506921248335726</v>
      </c>
      <c r="O870" s="411">
        <f t="shared" si="336"/>
        <v>0.36073461154769165</v>
      </c>
      <c r="P870" s="411"/>
      <c r="Q870" s="411"/>
      <c r="R870" s="411"/>
      <c r="S870" s="411"/>
      <c r="T870" s="411"/>
      <c r="U870" s="411"/>
      <c r="V870" s="411"/>
      <c r="AB870" s="432"/>
      <c r="AC870" s="432"/>
      <c r="AD870" s="407"/>
    </row>
    <row r="871" spans="1:30" ht="12" hidden="1" customHeight="1" x14ac:dyDescent="0.2">
      <c r="A871" s="173"/>
      <c r="B871" s="173" t="s">
        <v>2365</v>
      </c>
      <c r="C871" s="173"/>
      <c r="D871" s="173"/>
      <c r="E871" s="173"/>
      <c r="F871" s="411"/>
      <c r="G871" s="411">
        <f t="shared" ref="G871:O871" si="337">G1119/(G1149*8760)</f>
        <v>0.1682871642197572</v>
      </c>
      <c r="H871" s="411">
        <f t="shared" si="337"/>
        <v>0.23671479382507907</v>
      </c>
      <c r="I871" s="411">
        <f t="shared" si="337"/>
        <v>0.32686248463525885</v>
      </c>
      <c r="J871" s="411">
        <f t="shared" si="337"/>
        <v>0.48436450111268736</v>
      </c>
      <c r="K871" s="411" t="e">
        <f t="shared" si="337"/>
        <v>#DIV/0!</v>
      </c>
      <c r="L871" s="411">
        <f t="shared" si="337"/>
        <v>0.43120873581298086</v>
      </c>
      <c r="M871" s="411" t="e">
        <f t="shared" si="337"/>
        <v>#DIV/0!</v>
      </c>
      <c r="N871" s="411" t="e">
        <f t="shared" si="337"/>
        <v>#DIV/0!</v>
      </c>
      <c r="O871" s="411" t="e">
        <f t="shared" si="337"/>
        <v>#DIV/0!</v>
      </c>
      <c r="P871" s="411"/>
      <c r="Q871" s="411"/>
      <c r="R871" s="411"/>
      <c r="S871" s="411"/>
      <c r="T871" s="411"/>
      <c r="U871" s="411"/>
      <c r="V871" s="411"/>
      <c r="AB871" s="432"/>
      <c r="AC871" s="432"/>
      <c r="AD871" s="407"/>
    </row>
    <row r="872" spans="1:30" ht="12" hidden="1" customHeight="1" x14ac:dyDescent="0.2">
      <c r="A872" s="173"/>
      <c r="B872" s="173"/>
      <c r="C872" s="173"/>
      <c r="D872" s="173"/>
      <c r="E872" s="173"/>
      <c r="F872" s="411"/>
      <c r="G872" s="411"/>
      <c r="H872" s="411"/>
      <c r="I872" s="411"/>
      <c r="J872" s="411"/>
      <c r="K872" s="411"/>
      <c r="L872" s="411"/>
      <c r="M872" s="411"/>
      <c r="N872" s="411"/>
      <c r="O872" s="411"/>
      <c r="P872" s="411"/>
      <c r="Q872" s="411"/>
      <c r="R872" s="411"/>
      <c r="S872" s="411"/>
      <c r="T872" s="411"/>
      <c r="U872" s="411"/>
      <c r="V872" s="411"/>
      <c r="AB872" s="432"/>
      <c r="AC872" s="432"/>
      <c r="AD872" s="407"/>
    </row>
    <row r="873" spans="1:30" ht="12" hidden="1" customHeight="1" x14ac:dyDescent="0.2">
      <c r="A873" s="173"/>
      <c r="B873" s="173"/>
      <c r="C873" s="173"/>
      <c r="D873" s="173"/>
      <c r="E873" s="173"/>
      <c r="F873" s="411"/>
      <c r="G873" s="411"/>
      <c r="H873" s="411"/>
      <c r="I873" s="411"/>
      <c r="J873" s="411"/>
      <c r="K873" s="411"/>
      <c r="L873" s="411"/>
      <c r="M873" s="411"/>
      <c r="N873" s="411"/>
      <c r="O873" s="411"/>
      <c r="P873" s="411"/>
      <c r="Q873" s="411"/>
      <c r="R873" s="411"/>
      <c r="S873" s="411"/>
      <c r="T873" s="411"/>
      <c r="U873" s="411"/>
      <c r="V873" s="411"/>
      <c r="AB873" s="432"/>
      <c r="AC873" s="432"/>
      <c r="AD873" s="407"/>
    </row>
    <row r="874" spans="1:30" ht="12" hidden="1" customHeight="1" x14ac:dyDescent="0.2"/>
    <row r="875" spans="1:30" ht="12" hidden="1" customHeight="1" x14ac:dyDescent="0.2"/>
    <row r="876" spans="1:30" ht="12" hidden="1" customHeight="1" x14ac:dyDescent="0.2"/>
    <row r="877" spans="1:30" ht="12" hidden="1" customHeight="1" x14ac:dyDescent="0.2"/>
    <row r="878" spans="1:30" s="418" customFormat="1" ht="12" hidden="1" customHeight="1" x14ac:dyDescent="0.2">
      <c r="A878" s="417" t="s">
        <v>1064</v>
      </c>
      <c r="J878" s="55"/>
      <c r="K878" s="55"/>
      <c r="L878" s="55"/>
      <c r="M878" s="55"/>
      <c r="N878" s="55"/>
    </row>
    <row r="879" spans="1:30" s="418" customFormat="1" ht="12" hidden="1" customHeight="1" x14ac:dyDescent="0.2">
      <c r="J879" s="55"/>
      <c r="K879" s="55"/>
      <c r="L879" s="55"/>
      <c r="M879" s="55"/>
      <c r="N879" s="55"/>
    </row>
    <row r="880" spans="1:30" s="418" customFormat="1" ht="12" hidden="1" customHeight="1" x14ac:dyDescent="0.2">
      <c r="A880" s="418" t="s">
        <v>1199</v>
      </c>
      <c r="G880" s="442">
        <f t="shared" ref="G880:R880" si="338">G651/G1119</f>
        <v>7.9762482737054663E-2</v>
      </c>
      <c r="H880" s="442">
        <f t="shared" si="338"/>
        <v>9.3393347199802842E-2</v>
      </c>
      <c r="I880" s="442">
        <f t="shared" si="338"/>
        <v>7.0529910766034792E-2</v>
      </c>
      <c r="J880" s="443">
        <f t="shared" si="338"/>
        <v>7.237905832133372E-2</v>
      </c>
      <c r="K880" s="443">
        <f t="shared" si="338"/>
        <v>6.4113795192385012E-2</v>
      </c>
      <c r="L880" s="443">
        <f t="shared" si="338"/>
        <v>6.0998203433964691E-2</v>
      </c>
      <c r="M880" s="443">
        <f t="shared" si="338"/>
        <v>5.6972703408922479E-2</v>
      </c>
      <c r="N880" s="443">
        <f t="shared" si="338"/>
        <v>5.3298523956291921E-2</v>
      </c>
      <c r="O880" s="442">
        <f t="shared" si="338"/>
        <v>2.6970975089141924E-2</v>
      </c>
      <c r="P880" s="442">
        <f t="shared" si="338"/>
        <v>0.18801134190578722</v>
      </c>
      <c r="Q880" s="442">
        <f t="shared" si="338"/>
        <v>5.6205733801010307E-2</v>
      </c>
      <c r="R880" s="442">
        <f t="shared" si="338"/>
        <v>9.5632600979123891E-2</v>
      </c>
      <c r="S880" s="442"/>
      <c r="V880" s="442"/>
    </row>
    <row r="881" spans="1:30" s="418" customFormat="1" ht="12" hidden="1" customHeight="1" x14ac:dyDescent="0.2">
      <c r="J881" s="55"/>
      <c r="K881" s="55"/>
      <c r="L881" s="55"/>
      <c r="M881" s="55"/>
      <c r="N881" s="55"/>
    </row>
    <row r="882" spans="1:30" s="418" customFormat="1" ht="12" hidden="1" customHeight="1" x14ac:dyDescent="0.2">
      <c r="A882" s="418" t="s">
        <v>1672</v>
      </c>
      <c r="G882" s="444">
        <f t="shared" ref="G882:R882" si="339">G809/G1119</f>
        <v>7.9782966488877546E-2</v>
      </c>
      <c r="H882" s="444">
        <f t="shared" si="339"/>
        <v>9.0988901034883482E-2</v>
      </c>
      <c r="I882" s="444">
        <f t="shared" si="339"/>
        <v>7.1403361825163603E-2</v>
      </c>
      <c r="J882" s="445">
        <f t="shared" si="339"/>
        <v>7.192491926625276E-2</v>
      </c>
      <c r="K882" s="445">
        <f t="shared" si="339"/>
        <v>5.8093845716264955E-2</v>
      </c>
      <c r="L882" s="445">
        <f t="shared" si="339"/>
        <v>6.8596329312332741E-2</v>
      </c>
      <c r="M882" s="445">
        <f t="shared" si="339"/>
        <v>5.8440321396927425E-2</v>
      </c>
      <c r="N882" s="445">
        <f t="shared" si="339"/>
        <v>5.2546743775259315E-2</v>
      </c>
      <c r="O882" s="444">
        <f t="shared" si="339"/>
        <v>2.5982119034011146E-2</v>
      </c>
      <c r="P882" s="444">
        <f t="shared" si="339"/>
        <v>0.18815787898557479</v>
      </c>
      <c r="Q882" s="444">
        <f t="shared" si="339"/>
        <v>5.7043245262271711E-2</v>
      </c>
      <c r="R882" s="444">
        <f t="shared" si="339"/>
        <v>0.10605828412485857</v>
      </c>
      <c r="S882" s="444"/>
      <c r="V882" s="444"/>
    </row>
    <row r="883" spans="1:30" s="418" customFormat="1" ht="12" hidden="1" customHeight="1" x14ac:dyDescent="0.2">
      <c r="J883" s="55"/>
      <c r="K883" s="55"/>
      <c r="L883" s="55"/>
      <c r="M883" s="55"/>
      <c r="N883" s="55"/>
    </row>
    <row r="884" spans="1:30" s="418" customFormat="1" ht="12" hidden="1" customHeight="1" x14ac:dyDescent="0.2">
      <c r="A884" s="418" t="s">
        <v>1200</v>
      </c>
      <c r="G884" s="428">
        <f t="shared" ref="G884:R884" si="340">G1119/(G1150*8760)</f>
        <v>0.4847102306033878</v>
      </c>
      <c r="H884" s="428">
        <f t="shared" si="340"/>
        <v>0.52200112228562601</v>
      </c>
      <c r="I884" s="428">
        <f t="shared" si="340"/>
        <v>0.74110960121789304</v>
      </c>
      <c r="J884" s="407">
        <f t="shared" si="340"/>
        <v>0.63576654956824985</v>
      </c>
      <c r="K884" s="407">
        <f t="shared" si="340"/>
        <v>0.65634334792264792</v>
      </c>
      <c r="L884" s="407">
        <f t="shared" si="340"/>
        <v>0.54680427893303507</v>
      </c>
      <c r="M884" s="407">
        <f t="shared" si="340"/>
        <v>0.70679004174345161</v>
      </c>
      <c r="N884" s="407">
        <f t="shared" si="340"/>
        <v>0.759742239827633</v>
      </c>
      <c r="O884" s="428">
        <f t="shared" si="340"/>
        <v>0.83281718937952942</v>
      </c>
      <c r="P884" s="428" t="e">
        <f t="shared" si="340"/>
        <v>#DIV/0!</v>
      </c>
      <c r="Q884" s="428" t="e">
        <f t="shared" si="340"/>
        <v>#DIV/0!</v>
      </c>
      <c r="R884" s="428">
        <f t="shared" si="340"/>
        <v>0.95778615922566523</v>
      </c>
      <c r="S884" s="428"/>
      <c r="V884" s="428"/>
    </row>
    <row r="885" spans="1:30" s="418" customFormat="1" ht="12" hidden="1" customHeight="1" x14ac:dyDescent="0.2">
      <c r="A885" s="418" t="s">
        <v>631</v>
      </c>
      <c r="G885" s="428">
        <f t="shared" ref="G885:R885" si="341">G1119/(G1151*8760)</f>
        <v>0.43201265769382785</v>
      </c>
      <c r="H885" s="428">
        <f t="shared" si="341"/>
        <v>0.51132539624716988</v>
      </c>
      <c r="I885" s="428">
        <f t="shared" si="341"/>
        <v>0.61490477504435292</v>
      </c>
      <c r="J885" s="407">
        <f t="shared" si="341"/>
        <v>0.80397718123325579</v>
      </c>
      <c r="K885" s="407">
        <f t="shared" si="341"/>
        <v>0.9464178212233908</v>
      </c>
      <c r="L885" s="407">
        <f t="shared" si="341"/>
        <v>0.72750418207207312</v>
      </c>
      <c r="M885" s="407">
        <f t="shared" si="341"/>
        <v>0.78018285562177159</v>
      </c>
      <c r="N885" s="407">
        <f t="shared" si="341"/>
        <v>0.79281353035908853</v>
      </c>
      <c r="O885" s="428">
        <f t="shared" si="341"/>
        <v>1.1002737246153074</v>
      </c>
      <c r="P885" s="428" t="e">
        <f t="shared" si="341"/>
        <v>#DIV/0!</v>
      </c>
      <c r="Q885" s="428" t="e">
        <f t="shared" si="341"/>
        <v>#DIV/0!</v>
      </c>
      <c r="R885" s="428">
        <f t="shared" si="341"/>
        <v>0.95778615922566523</v>
      </c>
      <c r="S885" s="428"/>
      <c r="V885" s="428"/>
    </row>
    <row r="886" spans="1:30" s="418" customFormat="1" ht="12" hidden="1" customHeight="1" x14ac:dyDescent="0.2">
      <c r="A886" s="418" t="s">
        <v>632</v>
      </c>
      <c r="G886" s="428">
        <f t="shared" ref="G886:R886" si="342">G1119/(G1146*8760)</f>
        <v>0.38761984447490255</v>
      </c>
      <c r="H886" s="428">
        <f t="shared" si="342"/>
        <v>0.41326654228375914</v>
      </c>
      <c r="I886" s="428">
        <f>I1119/(I1146*8760)</f>
        <v>0.35579203632595741</v>
      </c>
      <c r="J886" s="407">
        <f t="shared" si="342"/>
        <v>0.59125546443421095</v>
      </c>
      <c r="K886" s="407">
        <f t="shared" si="342"/>
        <v>0.61972668212579696</v>
      </c>
      <c r="L886" s="407">
        <f t="shared" si="342"/>
        <v>0.53794644347740639</v>
      </c>
      <c r="M886" s="407">
        <f>M1119/(M1146*8760)</f>
        <v>0.60149176379918601</v>
      </c>
      <c r="N886" s="407">
        <f>N1119/(N1146*8760)</f>
        <v>0.66506921248335726</v>
      </c>
      <c r="O886" s="428">
        <f t="shared" si="342"/>
        <v>0.36073461154769165</v>
      </c>
      <c r="P886" s="428">
        <f t="shared" si="342"/>
        <v>0.47186742187756991</v>
      </c>
      <c r="Q886" s="428">
        <f t="shared" si="342"/>
        <v>0.47137060085194016</v>
      </c>
      <c r="R886" s="428">
        <f t="shared" si="342"/>
        <v>0.86382521939831047</v>
      </c>
      <c r="S886" s="428"/>
      <c r="V886" s="428"/>
    </row>
    <row r="887" spans="1:30" s="418" customFormat="1" ht="12" hidden="1" customHeight="1" x14ac:dyDescent="0.2">
      <c r="J887" s="55"/>
      <c r="K887" s="55"/>
      <c r="L887" s="55"/>
      <c r="M887" s="55"/>
      <c r="N887" s="55"/>
    </row>
    <row r="888" spans="1:30" s="418" customFormat="1" ht="12" hidden="1" customHeight="1" x14ac:dyDescent="0.2">
      <c r="A888" s="418" t="s">
        <v>633</v>
      </c>
      <c r="G888" s="446">
        <f>G1119/G1125</f>
        <v>1178.5128522478201</v>
      </c>
      <c r="H888" s="446">
        <f t="shared" ref="H888:R888" si="343">H1119/H1125</f>
        <v>1972.2382503877291</v>
      </c>
      <c r="I888" s="446">
        <f>I1119/I1125</f>
        <v>20512.680078124999</v>
      </c>
      <c r="J888" s="73">
        <f t="shared" si="343"/>
        <v>45413.60709213563</v>
      </c>
      <c r="K888" s="73">
        <f t="shared" si="343"/>
        <v>225148.44360269362</v>
      </c>
      <c r="L888" s="73">
        <f t="shared" si="343"/>
        <v>251291.44525547445</v>
      </c>
      <c r="M888" s="73">
        <f>M1119/M1125</f>
        <v>1783285.9001004016</v>
      </c>
      <c r="N888" s="73">
        <f>N1119/N1125</f>
        <v>3722940.0740740742</v>
      </c>
      <c r="O888" s="446">
        <f t="shared" si="343"/>
        <v>45523937.166666664</v>
      </c>
      <c r="P888" s="446">
        <f t="shared" si="343"/>
        <v>60.555674103765703</v>
      </c>
      <c r="Q888" s="446">
        <f t="shared" si="343"/>
        <v>303.40909090909093</v>
      </c>
      <c r="R888" s="446">
        <f t="shared" si="343"/>
        <v>138.31194362017803</v>
      </c>
      <c r="S888" s="446"/>
      <c r="V888" s="446"/>
    </row>
    <row r="889" spans="1:30" s="418" customFormat="1" ht="12" hidden="1" customHeight="1" x14ac:dyDescent="0.2">
      <c r="J889" s="55"/>
      <c r="K889" s="55"/>
      <c r="L889" s="55"/>
      <c r="M889" s="55"/>
      <c r="N889" s="55"/>
      <c r="Y889" s="55"/>
      <c r="Z889" s="55"/>
      <c r="AA889" s="55"/>
      <c r="AB889" s="55"/>
      <c r="AC889" s="55"/>
      <c r="AD889" s="55"/>
    </row>
    <row r="890" spans="1:30" s="418" customFormat="1" ht="12" hidden="1" customHeight="1" x14ac:dyDescent="0.2">
      <c r="J890" s="55"/>
      <c r="K890" s="55"/>
      <c r="L890" s="55"/>
      <c r="M890" s="55"/>
      <c r="N890" s="55"/>
      <c r="Y890" s="55"/>
      <c r="Z890" s="55"/>
      <c r="AA890" s="55"/>
      <c r="AB890" s="55"/>
      <c r="AC890" s="55"/>
      <c r="AD890" s="55"/>
    </row>
    <row r="891" spans="1:30" ht="12" hidden="1" customHeight="1" x14ac:dyDescent="0.2"/>
    <row r="892" spans="1:30" ht="12" hidden="1" customHeight="1" x14ac:dyDescent="0.2"/>
    <row r="893" spans="1:30" ht="12" hidden="1" customHeight="1" x14ac:dyDescent="0.2"/>
    <row r="894" spans="1:30" ht="12" hidden="1" customHeight="1" x14ac:dyDescent="0.2"/>
    <row r="895" spans="1:30" ht="12" hidden="1" customHeight="1" x14ac:dyDescent="0.2"/>
    <row r="896" spans="1:30" ht="12" hidden="1" customHeight="1" x14ac:dyDescent="0.2"/>
    <row r="897" spans="1:22" s="438" customFormat="1" ht="12" hidden="1" customHeight="1" x14ac:dyDescent="0.2">
      <c r="A897" s="437" t="s">
        <v>2808</v>
      </c>
      <c r="Q897" s="439" t="e">
        <f>SUM(Q883:S883)/SUM(Q894:S894)</f>
        <v>#DIV/0!</v>
      </c>
    </row>
    <row r="899" spans="1:22" ht="12" customHeight="1" x14ac:dyDescent="0.2">
      <c r="A899" s="402" t="s">
        <v>1462</v>
      </c>
    </row>
    <row r="901" spans="1:22" ht="12" customHeight="1" x14ac:dyDescent="0.2">
      <c r="A901" s="55" t="s">
        <v>1427</v>
      </c>
      <c r="F901" s="62">
        <f t="shared" ref="F901:R901" si="344">F809</f>
        <v>1287696535.6966815</v>
      </c>
      <c r="G901" s="62">
        <f t="shared" si="344"/>
        <v>474279916.49373692</v>
      </c>
      <c r="H901" s="62">
        <f t="shared" si="344"/>
        <v>176800211.31819463</v>
      </c>
      <c r="I901" s="62">
        <f t="shared" si="344"/>
        <v>11248698.759338377</v>
      </c>
      <c r="J901" s="62">
        <f t="shared" si="344"/>
        <v>220793548.12142894</v>
      </c>
      <c r="K901" s="62">
        <f t="shared" si="344"/>
        <v>46616189.603230596</v>
      </c>
      <c r="L901" s="62">
        <f t="shared" si="344"/>
        <v>28338730.683599625</v>
      </c>
      <c r="M901" s="62">
        <f t="shared" si="344"/>
        <v>207597875.87979716</v>
      </c>
      <c r="N901" s="62">
        <f t="shared" si="344"/>
        <v>84511459.366422608</v>
      </c>
      <c r="O901" s="62">
        <f t="shared" si="344"/>
        <v>14193700.252334129</v>
      </c>
      <c r="P901" s="62">
        <f t="shared" si="344"/>
        <v>23195276.931937154</v>
      </c>
      <c r="Q901" s="62">
        <f t="shared" si="344"/>
        <v>2284.581972753982</v>
      </c>
      <c r="R901" s="62">
        <f t="shared" si="344"/>
        <v>118643.90252710316</v>
      </c>
      <c r="S901" s="62"/>
      <c r="T901" s="62">
        <f>SUM(G901:R901)</f>
        <v>1287696535.8945203</v>
      </c>
      <c r="U901" s="61" t="str">
        <f>IF(ABS(F901-T901)&lt;0.01,"ok","err")</f>
        <v>err</v>
      </c>
      <c r="V901" s="62">
        <f>IF(U901="err",T901-F901,"")</f>
        <v>0.19783878326416016</v>
      </c>
    </row>
    <row r="903" spans="1:22" ht="12" customHeight="1" x14ac:dyDescent="0.2">
      <c r="A903" s="55" t="s">
        <v>528</v>
      </c>
      <c r="F903" s="62">
        <f t="shared" ref="F903:R903" si="345">F814+F815+F816+F817+F818+F819+F821+F822+F848</f>
        <v>998844711.07262218</v>
      </c>
      <c r="G903" s="62">
        <f t="shared" si="345"/>
        <v>396715877.27674842</v>
      </c>
      <c r="H903" s="62">
        <f t="shared" si="345"/>
        <v>121293590.22624493</v>
      </c>
      <c r="I903" s="62">
        <f t="shared" si="345"/>
        <v>8607439.9635647554</v>
      </c>
      <c r="J903" s="62">
        <f t="shared" si="345"/>
        <v>150354743.68007651</v>
      </c>
      <c r="K903" s="62">
        <f t="shared" si="345"/>
        <v>32177929.734331306</v>
      </c>
      <c r="L903" s="62">
        <f t="shared" si="345"/>
        <v>23823024.48968805</v>
      </c>
      <c r="M903" s="62">
        <f t="shared" si="345"/>
        <v>169204058.70508409</v>
      </c>
      <c r="N903" s="62">
        <f t="shared" si="345"/>
        <v>67589224.135447666</v>
      </c>
      <c r="O903" s="62">
        <f t="shared" si="345"/>
        <v>15860595.423234353</v>
      </c>
      <c r="P903" s="62">
        <f t="shared" si="345"/>
        <v>13127292.474546401</v>
      </c>
      <c r="Q903" s="62">
        <f t="shared" si="345"/>
        <v>2097.6022696149671</v>
      </c>
      <c r="R903" s="62">
        <f t="shared" si="345"/>
        <v>88837.501210547765</v>
      </c>
      <c r="S903" s="62"/>
      <c r="T903" s="62">
        <f>SUM(G903:R903)</f>
        <v>998844711.21244657</v>
      </c>
      <c r="U903" s="61" t="str">
        <f>IF(ABS(F903-T903)&lt;0.01,"ok","err")</f>
        <v>err</v>
      </c>
      <c r="V903" s="405">
        <f>IF(U903="err",T903-F903,"")</f>
        <v>0.13982439041137695</v>
      </c>
    </row>
    <row r="905" spans="1:22" ht="12" customHeight="1" x14ac:dyDescent="0.2">
      <c r="A905" s="55" t="s">
        <v>1428</v>
      </c>
      <c r="D905" s="55" t="s">
        <v>1429</v>
      </c>
      <c r="F905" s="76">
        <f t="shared" ref="F905:R905" si="346">F636</f>
        <v>59882590.212777451</v>
      </c>
      <c r="G905" s="76">
        <f t="shared" si="346"/>
        <v>26627030.658153024</v>
      </c>
      <c r="H905" s="76">
        <f t="shared" si="346"/>
        <v>7602696.6826970316</v>
      </c>
      <c r="I905" s="76">
        <f t="shared" si="346"/>
        <v>451846.58798744023</v>
      </c>
      <c r="J905" s="76">
        <f t="shared" si="346"/>
        <v>7934198.333919785</v>
      </c>
      <c r="K905" s="76">
        <f t="shared" si="346"/>
        <v>1766148.0961665623</v>
      </c>
      <c r="L905" s="76">
        <f t="shared" si="346"/>
        <v>1218140.3158181203</v>
      </c>
      <c r="M905" s="76">
        <f t="shared" si="346"/>
        <v>8563035.9822794423</v>
      </c>
      <c r="N905" s="76">
        <f t="shared" si="346"/>
        <v>3340544.0610360652</v>
      </c>
      <c r="O905" s="76">
        <f t="shared" si="346"/>
        <v>985123.25665112166</v>
      </c>
      <c r="P905" s="76">
        <f t="shared" si="346"/>
        <v>1388887.7613557687</v>
      </c>
      <c r="Q905" s="76">
        <f t="shared" si="346"/>
        <v>87.113220459451981</v>
      </c>
      <c r="R905" s="76">
        <f t="shared" si="346"/>
        <v>4851.3634926453742</v>
      </c>
      <c r="S905" s="76"/>
      <c r="T905" s="76">
        <f>SUM(G905:R905)</f>
        <v>59882590.212777458</v>
      </c>
      <c r="U905" s="61" t="str">
        <f>IF(ABS(F905-T905)&lt;0.01,"ok","err")</f>
        <v>ok</v>
      </c>
      <c r="V905" s="62" t="str">
        <f>IF(U905="err",T905-F905,"")</f>
        <v/>
      </c>
    </row>
    <row r="906" spans="1:22" ht="12" customHeight="1" x14ac:dyDescent="0.2">
      <c r="F906" s="76"/>
      <c r="G906" s="76"/>
      <c r="H906" s="76"/>
      <c r="I906" s="76"/>
      <c r="J906" s="76"/>
      <c r="K906" s="76"/>
      <c r="L906" s="76"/>
      <c r="M906" s="76"/>
      <c r="N906" s="76"/>
      <c r="O906" s="76"/>
      <c r="P906" s="76"/>
      <c r="Q906" s="76"/>
      <c r="R906" s="76"/>
      <c r="S906" s="76"/>
      <c r="T906" s="76"/>
      <c r="U906" s="61"/>
    </row>
    <row r="907" spans="1:22" ht="12" customHeight="1" x14ac:dyDescent="0.2">
      <c r="A907" s="55" t="s">
        <v>1463</v>
      </c>
      <c r="E907" s="55" t="s">
        <v>1429</v>
      </c>
      <c r="F907" s="416">
        <v>0</v>
      </c>
      <c r="G907" s="424">
        <f t="shared" ref="G907:R907" si="347">IF(VLOOKUP($E907,$D$5:$AH$1271,3,)=0,0,(VLOOKUP($E907,$D$5:$AH$1271,G$1,)/VLOOKUP($E907,$D$5:$AH$1271,3,))*$F907)</f>
        <v>0</v>
      </c>
      <c r="H907" s="424">
        <f t="shared" si="347"/>
        <v>0</v>
      </c>
      <c r="I907" s="424">
        <f t="shared" si="347"/>
        <v>0</v>
      </c>
      <c r="J907" s="424">
        <f t="shared" si="347"/>
        <v>0</v>
      </c>
      <c r="K907" s="424">
        <f t="shared" si="347"/>
        <v>0</v>
      </c>
      <c r="L907" s="424">
        <f t="shared" si="347"/>
        <v>0</v>
      </c>
      <c r="M907" s="424">
        <f t="shared" si="347"/>
        <v>0</v>
      </c>
      <c r="N907" s="424">
        <f t="shared" si="347"/>
        <v>0</v>
      </c>
      <c r="O907" s="424">
        <f t="shared" si="347"/>
        <v>0</v>
      </c>
      <c r="P907" s="424">
        <f t="shared" si="347"/>
        <v>0</v>
      </c>
      <c r="Q907" s="424">
        <f t="shared" si="347"/>
        <v>0</v>
      </c>
      <c r="R907" s="424">
        <f t="shared" si="347"/>
        <v>0</v>
      </c>
      <c r="S907" s="424"/>
      <c r="T907" s="416">
        <f>SUM(G907:R907)</f>
        <v>0</v>
      </c>
      <c r="U907" s="61" t="str">
        <f>IF(ABS(F907-T907)&lt;0.01,"ok","err")</f>
        <v>ok</v>
      </c>
      <c r="V907" s="62" t="str">
        <f>IF(U907="err",T907-F907,"")</f>
        <v/>
      </c>
    </row>
    <row r="909" spans="1:22" ht="12" customHeight="1" x14ac:dyDescent="0.2">
      <c r="A909" s="55" t="s">
        <v>1430</v>
      </c>
      <c r="D909" s="55" t="s">
        <v>1464</v>
      </c>
      <c r="F909" s="62">
        <f>F901-F903-F905-F907</f>
        <v>228969234.41128188</v>
      </c>
      <c r="G909" s="62">
        <f t="shared" ref="G909:R909" si="348">G901-G903-G905-G907</f>
        <v>50937008.558835477</v>
      </c>
      <c r="H909" s="62">
        <f t="shared" si="348"/>
        <v>47903924.409252673</v>
      </c>
      <c r="I909" s="62">
        <f>I901-I903-I905-I907</f>
        <v>2189412.2077861815</v>
      </c>
      <c r="J909" s="62">
        <f t="shared" si="348"/>
        <v>62504606.107432641</v>
      </c>
      <c r="K909" s="62">
        <f t="shared" si="348"/>
        <v>12672111.772732727</v>
      </c>
      <c r="L909" s="62">
        <f t="shared" si="348"/>
        <v>3297565.8780934545</v>
      </c>
      <c r="M909" s="62">
        <f>M901-M903-M905-M907</f>
        <v>29830781.192433633</v>
      </c>
      <c r="N909" s="62">
        <f>N901-N903-N905-N907</f>
        <v>13581691.169938877</v>
      </c>
      <c r="O909" s="62">
        <f t="shared" si="348"/>
        <v>-2652018.4275513454</v>
      </c>
      <c r="P909" s="62">
        <f t="shared" si="348"/>
        <v>8679096.6960349847</v>
      </c>
      <c r="Q909" s="62">
        <f t="shared" si="348"/>
        <v>99.866482679562893</v>
      </c>
      <c r="R909" s="62">
        <f t="shared" si="348"/>
        <v>24955.037823910017</v>
      </c>
      <c r="S909" s="62"/>
      <c r="T909" s="62">
        <f>SUM(G909:R909)</f>
        <v>228969234.46929592</v>
      </c>
      <c r="U909" s="61" t="str">
        <f>IF(ABS(F909-T909)&lt;0.01,"ok","err")</f>
        <v>err</v>
      </c>
      <c r="V909" s="443">
        <f>IF(U909="err",T909-F909,"")</f>
        <v>5.8014035224914551E-2</v>
      </c>
    </row>
    <row r="911" spans="1:22" s="438" customFormat="1" ht="12" customHeight="1" x14ac:dyDescent="0.2">
      <c r="A911" s="437" t="s">
        <v>2807</v>
      </c>
      <c r="Q911" s="439" t="e">
        <f>SUM(Q897:S897)/SUM(Q908:S908)</f>
        <v>#DIV/0!</v>
      </c>
    </row>
    <row r="912" spans="1:22" ht="12" customHeight="1" x14ac:dyDescent="0.2">
      <c r="A912" s="171" t="s">
        <v>2793</v>
      </c>
    </row>
    <row r="914" spans="1:24" ht="12" customHeight="1" x14ac:dyDescent="0.2">
      <c r="A914" s="171" t="s">
        <v>524</v>
      </c>
    </row>
    <row r="916" spans="1:24" ht="12" customHeight="1" x14ac:dyDescent="0.2">
      <c r="A916" s="55" t="s">
        <v>614</v>
      </c>
      <c r="F916" s="62">
        <f t="shared" ref="F916:S916" si="349">F809</f>
        <v>1287696535.6966815</v>
      </c>
      <c r="G916" s="62">
        <f t="shared" si="349"/>
        <v>474279916.49373692</v>
      </c>
      <c r="H916" s="62">
        <f t="shared" si="349"/>
        <v>176800211.31819463</v>
      </c>
      <c r="I916" s="62">
        <f t="shared" si="349"/>
        <v>11248698.759338377</v>
      </c>
      <c r="J916" s="62">
        <f t="shared" si="349"/>
        <v>220793548.12142894</v>
      </c>
      <c r="K916" s="62">
        <f t="shared" si="349"/>
        <v>46616189.603230596</v>
      </c>
      <c r="L916" s="62">
        <f t="shared" si="349"/>
        <v>28338730.683599625</v>
      </c>
      <c r="M916" s="62">
        <f t="shared" si="349"/>
        <v>207597875.87979716</v>
      </c>
      <c r="N916" s="62">
        <f t="shared" si="349"/>
        <v>84511459.366422608</v>
      </c>
      <c r="O916" s="62">
        <f t="shared" si="349"/>
        <v>14193700.252334129</v>
      </c>
      <c r="P916" s="62">
        <f t="shared" si="349"/>
        <v>23195276.931937154</v>
      </c>
      <c r="Q916" s="62">
        <f t="shared" si="349"/>
        <v>2284.581972753982</v>
      </c>
      <c r="R916" s="62">
        <f t="shared" si="349"/>
        <v>118643.90252710316</v>
      </c>
      <c r="S916" s="62">
        <f t="shared" si="349"/>
        <v>0</v>
      </c>
      <c r="T916" s="62">
        <f>ROUND(SUM(G916:S916),2)</f>
        <v>1287696535.8900001</v>
      </c>
      <c r="U916" s="61" t="str">
        <f>IF(ABS(F916-T916)&lt;0.01,"ok","err")</f>
        <v>err</v>
      </c>
      <c r="V916" s="76"/>
      <c r="W916" s="76"/>
      <c r="X916" s="76"/>
    </row>
    <row r="917" spans="1:24" ht="12" customHeight="1" x14ac:dyDescent="0.2"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1"/>
      <c r="V917" s="76"/>
      <c r="W917" s="76"/>
      <c r="X917" s="76"/>
    </row>
    <row r="918" spans="1:24" ht="12" customHeight="1" x14ac:dyDescent="0.2">
      <c r="A918" s="55" t="s">
        <v>615</v>
      </c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1"/>
      <c r="V918" s="76"/>
      <c r="W918" s="76"/>
      <c r="X918" s="76"/>
    </row>
    <row r="919" spans="1:24" ht="12" customHeight="1" x14ac:dyDescent="0.2">
      <c r="A919" s="55" t="s">
        <v>1194</v>
      </c>
      <c r="F919" s="404">
        <f>($F$850*F874-F868)/(1-$E$903)</f>
        <v>0</v>
      </c>
      <c r="G919" s="404">
        <f t="shared" ref="G919:S919" si="350">($F$862*G860-G854)/(1-$E$929)</f>
        <v>48318126.239541538</v>
      </c>
      <c r="H919" s="404">
        <f t="shared" si="350"/>
        <v>-17240024.302716199</v>
      </c>
      <c r="I919" s="404">
        <f t="shared" si="350"/>
        <v>-484579.72395922907</v>
      </c>
      <c r="J919" s="404">
        <f t="shared" si="350"/>
        <v>-31100775.762620606</v>
      </c>
      <c r="K919" s="404">
        <f t="shared" si="350"/>
        <v>-3862018.7976822476</v>
      </c>
      <c r="L919" s="404">
        <f t="shared" si="350"/>
        <v>202125.52068310956</v>
      </c>
      <c r="M919" s="404">
        <f t="shared" si="350"/>
        <v>927871.22993915447</v>
      </c>
      <c r="N919" s="404">
        <f t="shared" si="350"/>
        <v>-116302.06026676261</v>
      </c>
      <c r="O919" s="404">
        <f t="shared" si="350"/>
        <v>6531515.9091413068</v>
      </c>
      <c r="P919" s="404">
        <f t="shared" si="350"/>
        <v>-3168427.7997171618</v>
      </c>
      <c r="Q919" s="404">
        <f t="shared" si="350"/>
        <v>220.29637607840723</v>
      </c>
      <c r="R919" s="404">
        <f t="shared" si="350"/>
        <v>-7730.8379268325252</v>
      </c>
      <c r="S919" s="404">
        <f t="shared" si="350"/>
        <v>0</v>
      </c>
      <c r="T919" s="62">
        <f>ROUND(SUM(G919:S919),2)</f>
        <v>-0.09</v>
      </c>
      <c r="U919" s="61" t="str">
        <f>IF(ABS(F919-T919)&lt;0.01,"ok","err")</f>
        <v>err</v>
      </c>
      <c r="V919" s="427"/>
      <c r="W919" s="427"/>
      <c r="X919" s="427"/>
    </row>
    <row r="920" spans="1:24" ht="12" customHeight="1" x14ac:dyDescent="0.2">
      <c r="V920" s="174"/>
      <c r="W920" s="174"/>
      <c r="X920" s="174"/>
    </row>
    <row r="921" spans="1:24" ht="12" customHeight="1" x14ac:dyDescent="0.2">
      <c r="A921" s="55" t="s">
        <v>616</v>
      </c>
      <c r="F921" s="62">
        <f t="shared" ref="F921:S921" si="351">SUM(F916:F919)</f>
        <v>1287696535.6966815</v>
      </c>
      <c r="G921" s="62">
        <f t="shared" si="351"/>
        <v>522598042.73327845</v>
      </c>
      <c r="H921" s="62">
        <f t="shared" si="351"/>
        <v>159560187.01547843</v>
      </c>
      <c r="I921" s="62">
        <f t="shared" si="351"/>
        <v>10764119.035379147</v>
      </c>
      <c r="J921" s="62">
        <f t="shared" si="351"/>
        <v>189692772.35880834</v>
      </c>
      <c r="K921" s="62">
        <f t="shared" si="351"/>
        <v>42754170.805548348</v>
      </c>
      <c r="L921" s="62">
        <f t="shared" si="351"/>
        <v>28540856.204282735</v>
      </c>
      <c r="M921" s="62">
        <f t="shared" si="351"/>
        <v>208525747.10973632</v>
      </c>
      <c r="N921" s="62">
        <f t="shared" si="351"/>
        <v>84395157.306155846</v>
      </c>
      <c r="O921" s="62">
        <f t="shared" si="351"/>
        <v>20725216.161475435</v>
      </c>
      <c r="P921" s="62">
        <f t="shared" si="351"/>
        <v>20026849.132219993</v>
      </c>
      <c r="Q921" s="62">
        <f t="shared" si="351"/>
        <v>2504.8783488323893</v>
      </c>
      <c r="R921" s="62">
        <f t="shared" si="351"/>
        <v>110913.06460027063</v>
      </c>
      <c r="S921" s="62">
        <f t="shared" si="351"/>
        <v>0</v>
      </c>
      <c r="T921" s="62">
        <f>ROUND(SUM(G921:S921),2)</f>
        <v>1287696535.8099999</v>
      </c>
      <c r="U921" s="61" t="str">
        <f>IF(ABS(F921-T921)&lt;0.01,"ok","err")</f>
        <v>err</v>
      </c>
      <c r="V921" s="76"/>
      <c r="W921" s="76"/>
      <c r="X921" s="76"/>
    </row>
    <row r="922" spans="1:24" ht="12" customHeight="1" x14ac:dyDescent="0.2">
      <c r="V922" s="174"/>
      <c r="W922" s="174"/>
      <c r="X922" s="174"/>
    </row>
    <row r="923" spans="1:24" ht="12" customHeight="1" x14ac:dyDescent="0.2">
      <c r="A923" s="171" t="s">
        <v>528</v>
      </c>
      <c r="V923" s="174"/>
      <c r="W923" s="174"/>
      <c r="X923" s="174"/>
    </row>
    <row r="924" spans="1:24" ht="12" customHeight="1" x14ac:dyDescent="0.2">
      <c r="V924" s="174"/>
      <c r="W924" s="174"/>
      <c r="X924" s="174"/>
    </row>
    <row r="925" spans="1:24" ht="12" customHeight="1" x14ac:dyDescent="0.2">
      <c r="A925" s="55" t="s">
        <v>533</v>
      </c>
      <c r="F925" s="62">
        <f t="shared" ref="F925:S925" si="352">F682</f>
        <v>1139327996.0526221</v>
      </c>
      <c r="G925" s="62">
        <f t="shared" si="352"/>
        <v>438620356.21121198</v>
      </c>
      <c r="H925" s="62">
        <f t="shared" si="352"/>
        <v>148958743.3582623</v>
      </c>
      <c r="I925" s="62">
        <f t="shared" si="352"/>
        <v>9693812.9110342525</v>
      </c>
      <c r="J925" s="62">
        <f t="shared" si="352"/>
        <v>182310158.39716402</v>
      </c>
      <c r="K925" s="62">
        <f t="shared" si="352"/>
        <v>41562166.675834559</v>
      </c>
      <c r="L925" s="62">
        <f t="shared" si="352"/>
        <v>24110323.30436134</v>
      </c>
      <c r="M925" s="62">
        <f t="shared" si="352"/>
        <v>184790299.27456602</v>
      </c>
      <c r="N925" s="62">
        <f t="shared" si="352"/>
        <v>76379577.876800492</v>
      </c>
      <c r="O925" s="62">
        <f t="shared" si="352"/>
        <v>16035121.993293857</v>
      </c>
      <c r="P925" s="62">
        <f t="shared" si="352"/>
        <v>16773979.210321018</v>
      </c>
      <c r="Q925" s="62">
        <f t="shared" si="352"/>
        <v>2178.9084789475401</v>
      </c>
      <c r="R925" s="62">
        <f t="shared" si="352"/>
        <v>91277.932880806533</v>
      </c>
      <c r="S925" s="62">
        <f t="shared" si="352"/>
        <v>0</v>
      </c>
      <c r="T925" s="62">
        <f>ROUND(SUM(G925:S925),2)</f>
        <v>1139327996.05</v>
      </c>
      <c r="U925" s="61" t="str">
        <f>IF(ABS(F925-T925)&lt;0.01,"ok","err")</f>
        <v>ok</v>
      </c>
      <c r="V925" s="76"/>
      <c r="W925" s="76"/>
      <c r="X925" s="76"/>
    </row>
    <row r="926" spans="1:24" ht="12" customHeight="1" x14ac:dyDescent="0.2">
      <c r="V926" s="174"/>
      <c r="W926" s="174"/>
      <c r="X926" s="174"/>
    </row>
    <row r="927" spans="1:24" ht="12" customHeight="1" x14ac:dyDescent="0.2">
      <c r="A927" s="55" t="s">
        <v>2794</v>
      </c>
      <c r="F927" s="410">
        <f t="shared" ref="F927:S927" si="353">F848</f>
        <v>-50823951</v>
      </c>
      <c r="G927" s="410">
        <f t="shared" si="353"/>
        <v>-22392925.18485428</v>
      </c>
      <c r="H927" s="410">
        <f t="shared" si="353"/>
        <v>-8401231.6256086137</v>
      </c>
      <c r="I927" s="410">
        <f t="shared" si="353"/>
        <v>-256494.39620683555</v>
      </c>
      <c r="J927" s="410">
        <f t="shared" si="353"/>
        <v>-7545540.4093777863</v>
      </c>
      <c r="K927" s="410">
        <f t="shared" si="353"/>
        <v>-3249763.4182831082</v>
      </c>
      <c r="L927" s="410">
        <f t="shared" si="353"/>
        <v>317878.19073201547</v>
      </c>
      <c r="M927" s="410">
        <f t="shared" si="353"/>
        <v>-5015126.031606812</v>
      </c>
      <c r="N927" s="410">
        <f t="shared" si="353"/>
        <v>-2996393.1100164759</v>
      </c>
      <c r="O927" s="410">
        <f t="shared" si="353"/>
        <v>-978669.25757924293</v>
      </c>
      <c r="P927" s="410">
        <f t="shared" si="353"/>
        <v>-311530.95241224236</v>
      </c>
      <c r="Q927" s="410">
        <f t="shared" si="353"/>
        <v>-46.400889084966188</v>
      </c>
      <c r="R927" s="410">
        <f t="shared" si="353"/>
        <v>5891.7359269685076</v>
      </c>
      <c r="S927" s="410">
        <f t="shared" si="353"/>
        <v>0</v>
      </c>
      <c r="T927" s="62">
        <f>ROUND(SUM(G927:S927),2)</f>
        <v>-50823950.859999999</v>
      </c>
      <c r="U927" s="61" t="str">
        <f>IF(ABS(F927-T927)&lt;0.01,"ok","err")</f>
        <v>err</v>
      </c>
      <c r="V927" s="430"/>
      <c r="W927" s="430"/>
      <c r="X927" s="430"/>
    </row>
    <row r="928" spans="1:24" ht="12" customHeight="1" x14ac:dyDescent="0.2">
      <c r="F928" s="410"/>
      <c r="G928" s="410"/>
      <c r="H928" s="410"/>
      <c r="I928" s="410"/>
      <c r="J928" s="410"/>
      <c r="K928" s="410"/>
      <c r="L928" s="410"/>
      <c r="M928" s="410"/>
      <c r="N928" s="410"/>
      <c r="O928" s="410"/>
      <c r="P928" s="410"/>
      <c r="Q928" s="410"/>
      <c r="R928" s="410"/>
      <c r="S928" s="410"/>
      <c r="T928" s="62"/>
      <c r="U928" s="61"/>
      <c r="V928" s="430"/>
      <c r="W928" s="430"/>
      <c r="X928" s="430"/>
    </row>
    <row r="929" spans="1:30" ht="12" customHeight="1" x14ac:dyDescent="0.2">
      <c r="A929" s="55" t="s">
        <v>1195</v>
      </c>
      <c r="E929" s="55">
        <v>0.36747299999999999</v>
      </c>
      <c r="F929" s="410">
        <f>F919*$E$929</f>
        <v>0</v>
      </c>
      <c r="G929" s="410">
        <f t="shared" ref="G929:S929" si="354">G919*$E$929</f>
        <v>17755606.803623047</v>
      </c>
      <c r="H929" s="410">
        <f t="shared" si="354"/>
        <v>-6335243.4505920298</v>
      </c>
      <c r="I929" s="410">
        <f t="shared" si="354"/>
        <v>-178069.96490246977</v>
      </c>
      <c r="J929" s="410">
        <f t="shared" si="354"/>
        <v>-11428695.371817481</v>
      </c>
      <c r="K929" s="410">
        <f t="shared" si="354"/>
        <v>-1419187.6336406886</v>
      </c>
      <c r="L929" s="410">
        <f t="shared" si="354"/>
        <v>74275.671461984311</v>
      </c>
      <c r="M929" s="410">
        <f t="shared" si="354"/>
        <v>340967.6244794309</v>
      </c>
      <c r="N929" s="410">
        <f t="shared" si="354"/>
        <v>-42737.866992408053</v>
      </c>
      <c r="O929" s="410">
        <f t="shared" si="354"/>
        <v>2400155.7456798833</v>
      </c>
      <c r="P929" s="410">
        <f t="shared" si="354"/>
        <v>-1164311.6688454645</v>
      </c>
      <c r="Q929" s="410">
        <f t="shared" si="354"/>
        <v>80.952970206660538</v>
      </c>
      <c r="R929" s="410">
        <f t="shared" si="354"/>
        <v>-2840.8742054869285</v>
      </c>
      <c r="S929" s="410">
        <f t="shared" si="354"/>
        <v>0</v>
      </c>
      <c r="T929" s="62">
        <f>ROUND(SUM(G929:S929),2)</f>
        <v>-0.03</v>
      </c>
      <c r="U929" s="61" t="str">
        <f>IF(ABS(F929-T929)&lt;0.01,"ok","err")</f>
        <v>err</v>
      </c>
      <c r="V929" s="430"/>
      <c r="W929" s="430"/>
      <c r="X929" s="430"/>
    </row>
    <row r="930" spans="1:30" ht="12" customHeight="1" x14ac:dyDescent="0.2">
      <c r="A930" s="403"/>
      <c r="F930" s="73"/>
      <c r="G930" s="404"/>
      <c r="H930" s="404"/>
      <c r="I930" s="404"/>
      <c r="J930" s="404"/>
      <c r="K930" s="404"/>
      <c r="L930" s="404"/>
      <c r="M930" s="404"/>
      <c r="N930" s="404"/>
      <c r="O930" s="404"/>
      <c r="P930" s="404"/>
      <c r="Q930" s="404"/>
      <c r="R930" s="404"/>
      <c r="S930" s="404"/>
      <c r="T930" s="62"/>
      <c r="U930" s="61"/>
      <c r="V930" s="427"/>
      <c r="W930" s="427"/>
      <c r="X930" s="427"/>
    </row>
    <row r="931" spans="1:30" ht="12" customHeight="1" x14ac:dyDescent="0.2">
      <c r="A931" s="55" t="s">
        <v>2795</v>
      </c>
      <c r="F931" s="62">
        <f t="shared" ref="F931:M931" si="355">SUM(F925:F930)</f>
        <v>1088504045.0526221</v>
      </c>
      <c r="G931" s="62">
        <f t="shared" si="355"/>
        <v>433983037.82998073</v>
      </c>
      <c r="H931" s="62">
        <f t="shared" si="355"/>
        <v>134222268.28206164</v>
      </c>
      <c r="I931" s="62">
        <f t="shared" si="355"/>
        <v>9259248.5499249473</v>
      </c>
      <c r="J931" s="62">
        <f t="shared" si="355"/>
        <v>163335922.61596876</v>
      </c>
      <c r="K931" s="62">
        <f t="shared" si="355"/>
        <v>36893215.623910762</v>
      </c>
      <c r="L931" s="62">
        <f t="shared" si="355"/>
        <v>24502477.166555341</v>
      </c>
      <c r="M931" s="62">
        <f t="shared" si="355"/>
        <v>180116140.86743864</v>
      </c>
      <c r="N931" s="62">
        <f t="shared" ref="N931:S931" si="356">SUM(N925:N930)</f>
        <v>73340446.899791598</v>
      </c>
      <c r="O931" s="62">
        <f t="shared" si="356"/>
        <v>17456608.4813945</v>
      </c>
      <c r="P931" s="62">
        <f t="shared" si="356"/>
        <v>15298136.589063313</v>
      </c>
      <c r="Q931" s="62">
        <f t="shared" si="356"/>
        <v>2213.4605600692344</v>
      </c>
      <c r="R931" s="62">
        <f t="shared" si="356"/>
        <v>94328.794602288122</v>
      </c>
      <c r="S931" s="62">
        <f t="shared" si="356"/>
        <v>0</v>
      </c>
      <c r="T931" s="62">
        <f>ROUND(SUM(G931:S931),2)</f>
        <v>1088504045.1600001</v>
      </c>
      <c r="U931" s="61" t="str">
        <f>IF(ABS(F931-T931)&lt;0.01,"ok","err")</f>
        <v>err</v>
      </c>
      <c r="V931" s="76"/>
      <c r="W931" s="76"/>
      <c r="X931" s="76"/>
    </row>
    <row r="932" spans="1:30" ht="12" customHeight="1" x14ac:dyDescent="0.2">
      <c r="V932" s="174"/>
      <c r="W932" s="174"/>
      <c r="X932" s="174"/>
    </row>
    <row r="933" spans="1:30" ht="12" customHeight="1" x14ac:dyDescent="0.2">
      <c r="T933" s="62"/>
      <c r="V933" s="174"/>
      <c r="W933" s="174"/>
      <c r="X933" s="174"/>
    </row>
    <row r="934" spans="1:30" ht="12" customHeight="1" x14ac:dyDescent="0.2">
      <c r="A934" s="171" t="s">
        <v>2796</v>
      </c>
      <c r="F934" s="62">
        <f t="shared" ref="F934:S934" si="357">F921-F931</f>
        <v>199192490.64405942</v>
      </c>
      <c r="G934" s="62">
        <f t="shared" si="357"/>
        <v>88615004.903297722</v>
      </c>
      <c r="H934" s="62">
        <f t="shared" si="357"/>
        <v>25337918.733416796</v>
      </c>
      <c r="I934" s="62">
        <f t="shared" si="357"/>
        <v>1504870.4854541998</v>
      </c>
      <c r="J934" s="62">
        <f t="shared" si="357"/>
        <v>26356849.742839575</v>
      </c>
      <c r="K934" s="62">
        <f t="shared" si="357"/>
        <v>5860955.1816375852</v>
      </c>
      <c r="L934" s="62">
        <f t="shared" si="357"/>
        <v>4038379.0377273932</v>
      </c>
      <c r="M934" s="62">
        <f t="shared" si="357"/>
        <v>28409606.242297679</v>
      </c>
      <c r="N934" s="62">
        <f t="shared" si="357"/>
        <v>11054710.406364247</v>
      </c>
      <c r="O934" s="62">
        <f t="shared" si="357"/>
        <v>3268607.6800809354</v>
      </c>
      <c r="P934" s="62">
        <f t="shared" si="357"/>
        <v>4728712.5431566797</v>
      </c>
      <c r="Q934" s="62">
        <f t="shared" si="357"/>
        <v>291.41778876315493</v>
      </c>
      <c r="R934" s="62">
        <f t="shared" si="357"/>
        <v>16584.269997982512</v>
      </c>
      <c r="S934" s="62">
        <f t="shared" si="357"/>
        <v>0</v>
      </c>
      <c r="T934" s="62">
        <f>ROUND(SUM(G934:S934),2)</f>
        <v>199192490.63999999</v>
      </c>
      <c r="U934" s="61" t="str">
        <f>IF(ABS(F934-T934)&lt;0.01,"ok","err")</f>
        <v>ok</v>
      </c>
      <c r="V934" s="76"/>
      <c r="W934" s="76"/>
      <c r="X934" s="76"/>
    </row>
    <row r="935" spans="1:30" ht="12" customHeight="1" x14ac:dyDescent="0.2">
      <c r="V935" s="174"/>
      <c r="W935" s="174"/>
      <c r="X935" s="174"/>
    </row>
    <row r="936" spans="1:30" ht="12" customHeight="1" x14ac:dyDescent="0.2">
      <c r="A936" s="171" t="s">
        <v>512</v>
      </c>
      <c r="F936" s="62">
        <f>F860</f>
        <v>3310845269.9468822</v>
      </c>
      <c r="G936" s="62">
        <f t="shared" ref="G936:S936" si="358">G860</f>
        <v>1472899750.7976735</v>
      </c>
      <c r="H936" s="62">
        <f t="shared" si="358"/>
        <v>421150054.99246377</v>
      </c>
      <c r="I936" s="62">
        <f t="shared" si="358"/>
        <v>25012957.629772507</v>
      </c>
      <c r="J936" s="62">
        <f t="shared" si="358"/>
        <v>438086049.42700285</v>
      </c>
      <c r="K936" s="62">
        <f t="shared" si="358"/>
        <v>97416904.009549558</v>
      </c>
      <c r="L936" s="62">
        <f t="shared" si="358"/>
        <v>67123253.95440878</v>
      </c>
      <c r="M936" s="62">
        <f t="shared" si="358"/>
        <v>472205604.45946503</v>
      </c>
      <c r="N936" s="62">
        <f t="shared" si="358"/>
        <v>183744053.50925425</v>
      </c>
      <c r="O936" s="62">
        <f t="shared" si="358"/>
        <v>54328625.752492771</v>
      </c>
      <c r="P936" s="62">
        <f t="shared" si="358"/>
        <v>78597518.941739842</v>
      </c>
      <c r="Q936" s="62">
        <f t="shared" si="358"/>
        <v>4843.7529165140977</v>
      </c>
      <c r="R936" s="62">
        <f t="shared" si="358"/>
        <v>275652.7201442463</v>
      </c>
      <c r="S936" s="62">
        <f t="shared" si="358"/>
        <v>0</v>
      </c>
      <c r="T936" s="62">
        <f>ROUND(SUM(G936:S936),2)</f>
        <v>3310845269.9499998</v>
      </c>
      <c r="U936" s="61" t="str">
        <f>IF(ABS(F936-T936)&lt;0.01,"ok","err")</f>
        <v>ok</v>
      </c>
      <c r="V936" s="76"/>
      <c r="W936" s="76"/>
      <c r="X936" s="76"/>
    </row>
    <row r="937" spans="1:30" ht="12" customHeight="1" thickBot="1" x14ac:dyDescent="0.25">
      <c r="V937" s="174"/>
      <c r="W937" s="174"/>
      <c r="X937" s="174"/>
    </row>
    <row r="938" spans="1:30" ht="12" customHeight="1" thickBot="1" x14ac:dyDescent="0.25">
      <c r="A938" s="434" t="s">
        <v>534</v>
      </c>
      <c r="B938" s="435"/>
      <c r="C938" s="435"/>
      <c r="D938" s="435"/>
      <c r="E938" s="435"/>
      <c r="F938" s="436">
        <f t="shared" ref="F938:M938" si="359">F934/F936</f>
        <v>6.0163636293173908E-2</v>
      </c>
      <c r="G938" s="436">
        <f t="shared" si="359"/>
        <v>6.0163636293173915E-2</v>
      </c>
      <c r="H938" s="436">
        <f t="shared" si="359"/>
        <v>6.0163636293173943E-2</v>
      </c>
      <c r="I938" s="436">
        <f t="shared" si="359"/>
        <v>6.0163636293173804E-2</v>
      </c>
      <c r="J938" s="436">
        <f t="shared" si="359"/>
        <v>6.0163636293173832E-2</v>
      </c>
      <c r="K938" s="436">
        <f t="shared" si="359"/>
        <v>6.0163636293174019E-2</v>
      </c>
      <c r="L938" s="436">
        <f t="shared" si="359"/>
        <v>6.0163636293173853E-2</v>
      </c>
      <c r="M938" s="436">
        <f t="shared" si="359"/>
        <v>6.0163636293174089E-2</v>
      </c>
      <c r="N938" s="436">
        <f>N934/N936</f>
        <v>6.0163636293173853E-2</v>
      </c>
      <c r="O938" s="436">
        <f>O934/O936</f>
        <v>6.0163636293173881E-2</v>
      </c>
      <c r="P938" s="436">
        <f>P934/P936</f>
        <v>6.0163636293173867E-2</v>
      </c>
      <c r="Q938" s="436">
        <f>Q934/Q936</f>
        <v>6.0163636293173992E-2</v>
      </c>
      <c r="R938" s="436">
        <f>R934/R936</f>
        <v>6.0163636293173998E-2</v>
      </c>
      <c r="S938" s="411"/>
      <c r="T938" s="173"/>
      <c r="U938" s="173"/>
      <c r="V938" s="411"/>
      <c r="W938" s="411"/>
      <c r="X938" s="411"/>
    </row>
    <row r="939" spans="1:30" ht="12" customHeight="1" x14ac:dyDescent="0.2">
      <c r="V939" s="174"/>
      <c r="W939" s="174"/>
      <c r="X939" s="174"/>
    </row>
    <row r="940" spans="1:30" ht="12" customHeight="1" x14ac:dyDescent="0.2">
      <c r="V940" s="174"/>
      <c r="W940" s="174"/>
      <c r="X940" s="174"/>
    </row>
    <row r="941" spans="1:30" ht="12" customHeight="1" x14ac:dyDescent="0.2">
      <c r="A941" s="171" t="s">
        <v>1197</v>
      </c>
      <c r="B941" s="171"/>
      <c r="F941" s="62">
        <f t="shared" ref="F941:S941" si="360">F919</f>
        <v>0</v>
      </c>
      <c r="G941" s="62">
        <f t="shared" si="360"/>
        <v>48318126.239541538</v>
      </c>
      <c r="H941" s="62">
        <f t="shared" si="360"/>
        <v>-17240024.302716199</v>
      </c>
      <c r="I941" s="62">
        <f t="shared" si="360"/>
        <v>-484579.72395922907</v>
      </c>
      <c r="J941" s="62">
        <f t="shared" si="360"/>
        <v>-31100775.762620606</v>
      </c>
      <c r="K941" s="62">
        <f t="shared" si="360"/>
        <v>-3862018.7976822476</v>
      </c>
      <c r="L941" s="62">
        <f t="shared" si="360"/>
        <v>202125.52068310956</v>
      </c>
      <c r="M941" s="62">
        <f t="shared" si="360"/>
        <v>927871.22993915447</v>
      </c>
      <c r="N941" s="62">
        <f t="shared" si="360"/>
        <v>-116302.06026676261</v>
      </c>
      <c r="O941" s="62">
        <f t="shared" si="360"/>
        <v>6531515.9091413068</v>
      </c>
      <c r="P941" s="62">
        <f t="shared" si="360"/>
        <v>-3168427.7997171618</v>
      </c>
      <c r="Q941" s="62">
        <f t="shared" si="360"/>
        <v>220.29637607840723</v>
      </c>
      <c r="R941" s="62">
        <f t="shared" si="360"/>
        <v>-7730.8379268325252</v>
      </c>
      <c r="S941" s="62">
        <f t="shared" si="360"/>
        <v>0</v>
      </c>
      <c r="T941" s="62">
        <f>ROUND(SUM(G941:S941),2)</f>
        <v>-0.09</v>
      </c>
      <c r="U941" s="61" t="str">
        <f>IF(ABS(F941-T941)&lt;0.01,"ok","err")</f>
        <v>err</v>
      </c>
      <c r="V941" s="76"/>
      <c r="W941" s="76"/>
      <c r="X941" s="76"/>
    </row>
    <row r="942" spans="1:30" ht="12" customHeight="1" x14ac:dyDescent="0.2">
      <c r="A942" s="171"/>
      <c r="B942" s="171"/>
      <c r="V942" s="174"/>
      <c r="W942" s="174"/>
      <c r="X942" s="174"/>
    </row>
    <row r="943" spans="1:30" ht="12" customHeight="1" x14ac:dyDescent="0.2">
      <c r="A943" s="171" t="s">
        <v>1198</v>
      </c>
      <c r="B943" s="171"/>
      <c r="F943" s="407">
        <f t="shared" ref="F943:S943" si="361">F941/F916</f>
        <v>0</v>
      </c>
      <c r="G943" s="407">
        <f t="shared" si="361"/>
        <v>0.10187681274119395</v>
      </c>
      <c r="H943" s="407">
        <f t="shared" si="361"/>
        <v>-9.7511333126681712E-2</v>
      </c>
      <c r="I943" s="407">
        <f t="shared" si="361"/>
        <v>-4.3078735978856537E-2</v>
      </c>
      <c r="J943" s="407">
        <f t="shared" si="361"/>
        <v>-0.14085907866074165</v>
      </c>
      <c r="K943" s="407">
        <f t="shared" si="361"/>
        <v>-8.2847157405044572E-2</v>
      </c>
      <c r="L943" s="407">
        <f t="shared" si="361"/>
        <v>7.1324832061050976E-3</v>
      </c>
      <c r="M943" s="407">
        <f t="shared" si="361"/>
        <v>4.4695603266981798E-3</v>
      </c>
      <c r="N943" s="407">
        <f t="shared" si="361"/>
        <v>-1.3761691152735054E-3</v>
      </c>
      <c r="O943" s="407">
        <f>O941/O916</f>
        <v>0.4601700608738169</v>
      </c>
      <c r="P943" s="407">
        <f t="shared" si="361"/>
        <v>-0.13659797246717117</v>
      </c>
      <c r="Q943" s="407">
        <f t="shared" si="361"/>
        <v>9.6427433423563177E-2</v>
      </c>
      <c r="R943" s="407">
        <f t="shared" si="361"/>
        <v>-6.516001043598918E-2</v>
      </c>
      <c r="S943" s="407" t="e">
        <f t="shared" si="361"/>
        <v>#DIV/0!</v>
      </c>
      <c r="V943" s="196"/>
      <c r="W943" s="196"/>
      <c r="X943" s="196"/>
    </row>
    <row r="944" spans="1:30" ht="12" customHeight="1" x14ac:dyDescent="0.2">
      <c r="G944" s="62"/>
      <c r="H944" s="62"/>
      <c r="J944" s="62"/>
      <c r="O944" s="62"/>
      <c r="Y944" s="418"/>
      <c r="Z944" s="418"/>
      <c r="AA944" s="418"/>
      <c r="AB944" s="418"/>
      <c r="AC944" s="418"/>
      <c r="AD944" s="418"/>
    </row>
    <row r="945" spans="1:30" ht="12" customHeight="1" x14ac:dyDescent="0.2">
      <c r="G945" s="62"/>
      <c r="H945" s="62"/>
      <c r="J945" s="62"/>
      <c r="O945" s="62"/>
      <c r="Y945" s="418"/>
      <c r="Z945" s="418"/>
      <c r="AA945" s="418"/>
      <c r="AB945" s="418"/>
      <c r="AC945" s="418"/>
      <c r="AD945" s="418"/>
    </row>
    <row r="946" spans="1:30" ht="12" customHeight="1" x14ac:dyDescent="0.2">
      <c r="A946" s="50" t="s">
        <v>2353</v>
      </c>
    </row>
    <row r="947" spans="1:30" ht="12" customHeight="1" x14ac:dyDescent="0.2">
      <c r="B947" s="171"/>
    </row>
    <row r="949" spans="1:30" ht="12" customHeight="1" x14ac:dyDescent="0.2">
      <c r="A949" s="171" t="s">
        <v>239</v>
      </c>
    </row>
    <row r="951" spans="1:30" ht="12" customHeight="1" x14ac:dyDescent="0.2">
      <c r="A951" s="55" t="s">
        <v>1427</v>
      </c>
      <c r="F951" s="62">
        <f t="shared" ref="F951:R951" si="362">F809</f>
        <v>1287696535.6966815</v>
      </c>
      <c r="G951" s="62">
        <f t="shared" si="362"/>
        <v>474279916.49373692</v>
      </c>
      <c r="H951" s="62">
        <f t="shared" si="362"/>
        <v>176800211.31819463</v>
      </c>
      <c r="I951" s="62">
        <f t="shared" si="362"/>
        <v>11248698.759338377</v>
      </c>
      <c r="J951" s="62">
        <f t="shared" si="362"/>
        <v>220793548.12142894</v>
      </c>
      <c r="K951" s="62">
        <f t="shared" si="362"/>
        <v>46616189.603230596</v>
      </c>
      <c r="L951" s="62">
        <f t="shared" si="362"/>
        <v>28338730.683599625</v>
      </c>
      <c r="M951" s="62">
        <f t="shared" si="362"/>
        <v>207597875.87979716</v>
      </c>
      <c r="N951" s="62">
        <f t="shared" si="362"/>
        <v>84511459.366422608</v>
      </c>
      <c r="O951" s="62">
        <f t="shared" si="362"/>
        <v>14193700.252334129</v>
      </c>
      <c r="P951" s="62">
        <f t="shared" si="362"/>
        <v>23195276.931937154</v>
      </c>
      <c r="Q951" s="62">
        <f t="shared" si="362"/>
        <v>2284.581972753982</v>
      </c>
      <c r="R951" s="62">
        <f t="shared" si="362"/>
        <v>118643.90252710316</v>
      </c>
      <c r="S951" s="62"/>
      <c r="T951" s="62">
        <f>ROUND(SUM(G951:R951),2)</f>
        <v>1287696535.8900001</v>
      </c>
      <c r="U951" s="61" t="str">
        <f>IF(ABS(F951-T951)&lt;0.01,"ok","err")</f>
        <v>err</v>
      </c>
      <c r="V951" s="62">
        <f>IF(U951="err",T951-F951,"")</f>
        <v>0.19331860542297363</v>
      </c>
    </row>
    <row r="952" spans="1:30" ht="12" customHeight="1" x14ac:dyDescent="0.2"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1"/>
    </row>
    <row r="953" spans="1:30" ht="12" customHeight="1" x14ac:dyDescent="0.2">
      <c r="A953" s="55" t="s">
        <v>1178</v>
      </c>
      <c r="E953" s="447"/>
      <c r="F953" s="62">
        <v>81519691.810000002</v>
      </c>
      <c r="G953" s="404">
        <v>27869478.899233282</v>
      </c>
      <c r="H953" s="404">
        <v>10885106.682136089</v>
      </c>
      <c r="I953" s="404">
        <v>654535.13932064734</v>
      </c>
      <c r="J953" s="404">
        <v>13353653.595198363</v>
      </c>
      <c r="K953" s="404">
        <v>2888541.03073553</v>
      </c>
      <c r="L953" s="404">
        <v>1738961.3478491381</v>
      </c>
      <c r="M953" s="404">
        <v>11399173.276047815</v>
      </c>
      <c r="N953" s="404">
        <v>4740875.1108885854</v>
      </c>
      <c r="O953" s="404">
        <v>6578160.6478044847</v>
      </c>
      <c r="P953" s="404">
        <v>1404152.5375358053</v>
      </c>
      <c r="Q953" s="404">
        <v>130.99390898379124</v>
      </c>
      <c r="R953" s="404">
        <v>6922.5493412731157</v>
      </c>
      <c r="S953" s="447"/>
      <c r="T953" s="62">
        <f>SUM(G953:R953)</f>
        <v>81519691.810000002</v>
      </c>
      <c r="U953" s="61" t="str">
        <f>IF(ABS(F953-T953)&lt;0.01,"ok","err")</f>
        <v>ok</v>
      </c>
      <c r="V953" s="62" t="str">
        <f>IF(U953="err",T953-F953,"")</f>
        <v/>
      </c>
      <c r="AB953" s="431"/>
      <c r="AC953" s="431"/>
      <c r="AD953" s="431"/>
    </row>
    <row r="954" spans="1:30" ht="12" customHeight="1" x14ac:dyDescent="0.2">
      <c r="A954" s="55" t="s">
        <v>1192</v>
      </c>
      <c r="E954" s="447" t="s">
        <v>1048</v>
      </c>
      <c r="F954" s="404">
        <v>929141</v>
      </c>
      <c r="G954" s="404">
        <f t="shared" ref="G954:R954" si="363">IF(VLOOKUP($E954,$D$5:$AH$1244,3,)=0,0,(VLOOKUP($E954,$D$5:$AH$1244,G$1,)/VLOOKUP($E954,$D$5:$AH$1244,3,))*$F954)</f>
        <v>631873.20435102901</v>
      </c>
      <c r="H954" s="404">
        <f t="shared" si="363"/>
        <v>159043.21298298927</v>
      </c>
      <c r="I954" s="404">
        <f t="shared" si="363"/>
        <v>5076.1927201406543</v>
      </c>
      <c r="J954" s="404">
        <f t="shared" si="363"/>
        <v>60040.176034605101</v>
      </c>
      <c r="K954" s="404">
        <f t="shared" si="363"/>
        <v>8293.2905161151011</v>
      </c>
      <c r="L954" s="404">
        <f t="shared" si="363"/>
        <v>8119.8620082032658</v>
      </c>
      <c r="M954" s="404">
        <f t="shared" si="363"/>
        <v>37139.449235141423</v>
      </c>
      <c r="N954" s="404">
        <f t="shared" si="363"/>
        <v>0</v>
      </c>
      <c r="O954" s="404">
        <f t="shared" si="363"/>
        <v>0</v>
      </c>
      <c r="P954" s="404">
        <f t="shared" si="363"/>
        <v>19392.001082481522</v>
      </c>
      <c r="Q954" s="404">
        <f t="shared" si="363"/>
        <v>2.874117067728982</v>
      </c>
      <c r="R954" s="404">
        <f t="shared" si="363"/>
        <v>160.73695222680041</v>
      </c>
      <c r="S954" s="404"/>
      <c r="T954" s="62">
        <f>SUM(G954:R954)</f>
        <v>929141</v>
      </c>
      <c r="U954" s="61" t="str">
        <f>IF(ABS(F954-T954)&lt;0.01,"ok","err")</f>
        <v>ok</v>
      </c>
      <c r="V954" s="62" t="str">
        <f>IF(U954="err",T954-F954,"")</f>
        <v/>
      </c>
    </row>
    <row r="955" spans="1:30" ht="12" customHeight="1" x14ac:dyDescent="0.2">
      <c r="E955" s="447"/>
      <c r="F955" s="404"/>
      <c r="G955" s="404"/>
      <c r="H955" s="447"/>
      <c r="I955" s="447"/>
      <c r="J955" s="447"/>
      <c r="K955" s="447"/>
      <c r="L955" s="447"/>
      <c r="M955" s="447"/>
      <c r="N955" s="447"/>
      <c r="O955" s="447"/>
      <c r="P955" s="447"/>
      <c r="Q955" s="447"/>
      <c r="R955" s="447"/>
      <c r="S955" s="447"/>
      <c r="T955" s="62"/>
      <c r="U955" s="61"/>
      <c r="AB955" s="433"/>
      <c r="AC955" s="433"/>
      <c r="AD955" s="407"/>
    </row>
    <row r="956" spans="1:30" ht="12" customHeight="1" x14ac:dyDescent="0.2">
      <c r="A956" s="55" t="s">
        <v>616</v>
      </c>
      <c r="E956" s="447"/>
      <c r="F956" s="404">
        <f t="shared" ref="F956:R956" si="364">SUM(F951:F955)</f>
        <v>1370145368.5066814</v>
      </c>
      <c r="G956" s="404">
        <f t="shared" si="364"/>
        <v>502781268.59732121</v>
      </c>
      <c r="H956" s="404">
        <f t="shared" si="364"/>
        <v>187844361.2133137</v>
      </c>
      <c r="I956" s="404">
        <f t="shared" si="364"/>
        <v>11908310.091379166</v>
      </c>
      <c r="J956" s="404">
        <f t="shared" si="364"/>
        <v>234207241.8926619</v>
      </c>
      <c r="K956" s="404">
        <f t="shared" si="364"/>
        <v>49513023.924482241</v>
      </c>
      <c r="L956" s="404">
        <f t="shared" si="364"/>
        <v>30085811.893456966</v>
      </c>
      <c r="M956" s="404">
        <f t="shared" si="364"/>
        <v>219034188.60508013</v>
      </c>
      <c r="N956" s="404">
        <f t="shared" si="364"/>
        <v>89252334.477311194</v>
      </c>
      <c r="O956" s="404">
        <f t="shared" si="364"/>
        <v>20771860.900138613</v>
      </c>
      <c r="P956" s="404">
        <f t="shared" si="364"/>
        <v>24618821.47055544</v>
      </c>
      <c r="Q956" s="404">
        <f t="shared" si="364"/>
        <v>2418.4499988055022</v>
      </c>
      <c r="R956" s="404">
        <f t="shared" si="364"/>
        <v>125727.18882060307</v>
      </c>
      <c r="S956" s="404"/>
      <c r="T956" s="404">
        <f>SUM(T951:T955)</f>
        <v>1370145368.7</v>
      </c>
      <c r="U956" s="61" t="str">
        <f>IF(ABS(F956-T956)&lt;0.01,"ok","err")</f>
        <v>err</v>
      </c>
      <c r="V956" s="62">
        <f>IF(U956="err",T956-F956,"")</f>
        <v>0.19331860542297363</v>
      </c>
      <c r="AB956" s="433"/>
      <c r="AC956" s="433"/>
      <c r="AD956" s="407"/>
    </row>
    <row r="957" spans="1:30" ht="12" customHeight="1" x14ac:dyDescent="0.2">
      <c r="A957" s="171"/>
      <c r="E957" s="447"/>
      <c r="F957" s="404"/>
      <c r="G957" s="404"/>
      <c r="H957" s="404"/>
      <c r="I957" s="404"/>
      <c r="J957" s="404"/>
      <c r="K957" s="404"/>
      <c r="L957" s="404"/>
      <c r="M957" s="404"/>
      <c r="N957" s="404"/>
      <c r="O957" s="404"/>
      <c r="P957" s="404"/>
      <c r="Q957" s="404"/>
      <c r="R957" s="404"/>
      <c r="S957" s="404"/>
      <c r="T957" s="62"/>
      <c r="U957" s="61"/>
      <c r="AB957" s="433"/>
      <c r="AC957" s="433"/>
      <c r="AD957" s="407"/>
    </row>
    <row r="958" spans="1:30" ht="12" customHeight="1" x14ac:dyDescent="0.2">
      <c r="A958" s="171"/>
      <c r="E958" s="447"/>
      <c r="F958" s="404"/>
      <c r="G958" s="404"/>
      <c r="H958" s="404"/>
      <c r="I958" s="404"/>
      <c r="J958" s="404"/>
      <c r="K958" s="404"/>
      <c r="L958" s="404"/>
      <c r="M958" s="404"/>
      <c r="N958" s="404"/>
      <c r="O958" s="404"/>
      <c r="P958" s="404"/>
      <c r="Q958" s="404"/>
      <c r="R958" s="404"/>
      <c r="S958" s="404"/>
      <c r="T958" s="62"/>
      <c r="U958" s="61"/>
      <c r="AB958" s="433"/>
      <c r="AC958" s="433"/>
      <c r="AD958" s="407"/>
    </row>
    <row r="959" spans="1:30" ht="12" customHeight="1" x14ac:dyDescent="0.2">
      <c r="A959" s="171" t="s">
        <v>528</v>
      </c>
      <c r="E959" s="447"/>
      <c r="F959" s="404"/>
      <c r="G959" s="404"/>
      <c r="H959" s="404"/>
      <c r="I959" s="404"/>
      <c r="J959" s="404"/>
      <c r="K959" s="404"/>
      <c r="L959" s="404"/>
      <c r="M959" s="404"/>
      <c r="N959" s="404"/>
      <c r="O959" s="404"/>
      <c r="P959" s="404"/>
      <c r="Q959" s="404"/>
      <c r="R959" s="404"/>
      <c r="S959" s="404"/>
      <c r="T959" s="62"/>
      <c r="U959" s="61"/>
      <c r="AB959" s="433"/>
      <c r="AC959" s="433"/>
      <c r="AD959" s="407"/>
    </row>
    <row r="960" spans="1:30" ht="12" customHeight="1" x14ac:dyDescent="0.2">
      <c r="A960" s="171"/>
      <c r="E960" s="447"/>
      <c r="F960" s="404"/>
      <c r="G960" s="404"/>
      <c r="H960" s="404"/>
      <c r="I960" s="404"/>
      <c r="J960" s="404"/>
      <c r="K960" s="404"/>
      <c r="L960" s="404"/>
      <c r="M960" s="404"/>
      <c r="N960" s="404"/>
      <c r="O960" s="404"/>
      <c r="P960" s="404"/>
      <c r="Q960" s="404"/>
      <c r="R960" s="404"/>
      <c r="S960" s="404"/>
      <c r="T960" s="62"/>
      <c r="U960" s="61"/>
      <c r="AB960" s="433"/>
      <c r="AC960" s="433"/>
      <c r="AD960" s="407"/>
    </row>
    <row r="961" spans="1:80" ht="12" customHeight="1" x14ac:dyDescent="0.2">
      <c r="A961" s="55" t="s">
        <v>533</v>
      </c>
      <c r="E961" s="447"/>
      <c r="F961" s="404">
        <f t="shared" ref="F961:R961" si="365">F682</f>
        <v>1139327996.0526221</v>
      </c>
      <c r="G961" s="404">
        <f t="shared" si="365"/>
        <v>438620356.21121198</v>
      </c>
      <c r="H961" s="404">
        <f t="shared" si="365"/>
        <v>148958743.3582623</v>
      </c>
      <c r="I961" s="404">
        <f t="shared" si="365"/>
        <v>9693812.9110342525</v>
      </c>
      <c r="J961" s="404">
        <f t="shared" si="365"/>
        <v>182310158.39716402</v>
      </c>
      <c r="K961" s="404">
        <f t="shared" si="365"/>
        <v>41562166.675834559</v>
      </c>
      <c r="L961" s="404">
        <f t="shared" si="365"/>
        <v>24110323.30436134</v>
      </c>
      <c r="M961" s="404">
        <f t="shared" si="365"/>
        <v>184790299.27456602</v>
      </c>
      <c r="N961" s="404">
        <f t="shared" si="365"/>
        <v>76379577.876800492</v>
      </c>
      <c r="O961" s="404">
        <f t="shared" si="365"/>
        <v>16035121.993293857</v>
      </c>
      <c r="P961" s="404">
        <f t="shared" si="365"/>
        <v>16773979.210321018</v>
      </c>
      <c r="Q961" s="404">
        <f t="shared" si="365"/>
        <v>2178.9084789475401</v>
      </c>
      <c r="R961" s="404">
        <f t="shared" si="365"/>
        <v>91277.932880806533</v>
      </c>
      <c r="S961" s="404"/>
      <c r="T961" s="62">
        <f>ROUND(SUM(G961:R961),2)</f>
        <v>1139327996.05</v>
      </c>
      <c r="U961" s="448" t="str">
        <f>IF(ABS(F961-T961)&lt;0.01,"ok","err")</f>
        <v>ok</v>
      </c>
      <c r="V961" s="62" t="str">
        <f>IF(U961="err",T961-F961,"")</f>
        <v/>
      </c>
      <c r="AB961" s="433"/>
      <c r="AC961" s="433"/>
      <c r="AD961" s="407"/>
    </row>
    <row r="962" spans="1:80" ht="12" customHeight="1" x14ac:dyDescent="0.2">
      <c r="E962" s="447"/>
      <c r="F962" s="404"/>
      <c r="G962" s="404"/>
      <c r="H962" s="404"/>
      <c r="I962" s="404"/>
      <c r="J962" s="404"/>
      <c r="K962" s="404"/>
      <c r="L962" s="404"/>
      <c r="M962" s="404"/>
      <c r="N962" s="404"/>
      <c r="O962" s="404"/>
      <c r="P962" s="404"/>
      <c r="Q962" s="404"/>
      <c r="R962" s="404"/>
      <c r="S962" s="404"/>
      <c r="T962" s="62"/>
      <c r="U962" s="448"/>
      <c r="AB962" s="433"/>
      <c r="AC962" s="433"/>
      <c r="AD962" s="407"/>
    </row>
    <row r="963" spans="1:80" ht="12" customHeight="1" x14ac:dyDescent="0.2">
      <c r="A963" s="55" t="s">
        <v>240</v>
      </c>
      <c r="E963" s="447"/>
      <c r="F963" s="404">
        <f t="shared" ref="F963:R963" si="366">F848</f>
        <v>-50823951</v>
      </c>
      <c r="G963" s="404">
        <f t="shared" si="366"/>
        <v>-22392925.18485428</v>
      </c>
      <c r="H963" s="404">
        <f t="shared" si="366"/>
        <v>-8401231.6256086137</v>
      </c>
      <c r="I963" s="404">
        <f t="shared" si="366"/>
        <v>-256494.39620683555</v>
      </c>
      <c r="J963" s="404">
        <f t="shared" si="366"/>
        <v>-7545540.4093777863</v>
      </c>
      <c r="K963" s="404">
        <f t="shared" si="366"/>
        <v>-3249763.4182831082</v>
      </c>
      <c r="L963" s="404">
        <f t="shared" si="366"/>
        <v>317878.19073201547</v>
      </c>
      <c r="M963" s="404">
        <f t="shared" si="366"/>
        <v>-5015126.031606812</v>
      </c>
      <c r="N963" s="404">
        <f t="shared" si="366"/>
        <v>-2996393.1100164759</v>
      </c>
      <c r="O963" s="404">
        <f t="shared" si="366"/>
        <v>-978669.25757924293</v>
      </c>
      <c r="P963" s="404">
        <f t="shared" si="366"/>
        <v>-311530.95241224236</v>
      </c>
      <c r="Q963" s="404">
        <f t="shared" si="366"/>
        <v>-46.400889084966188</v>
      </c>
      <c r="R963" s="404">
        <f t="shared" si="366"/>
        <v>5891.7359269685076</v>
      </c>
      <c r="S963" s="404"/>
      <c r="T963" s="62">
        <f>ROUND(SUM(G963:R963),2)</f>
        <v>-50823950.859999999</v>
      </c>
      <c r="U963" s="448" t="str">
        <f>IF(ABS(F963-T963)&lt;0.01,"ok","err")</f>
        <v>err</v>
      </c>
      <c r="V963" s="62">
        <f>IF(U963="err",T963-F963,"")</f>
        <v>0.14000000059604645</v>
      </c>
      <c r="AB963" s="431"/>
      <c r="AC963" s="431"/>
    </row>
    <row r="964" spans="1:80" ht="12" customHeight="1" x14ac:dyDescent="0.2">
      <c r="G964" s="62"/>
      <c r="AB964" s="432"/>
      <c r="AC964" s="432"/>
      <c r="AD964" s="407"/>
    </row>
    <row r="965" spans="1:80" ht="12" customHeight="1" x14ac:dyDescent="0.2">
      <c r="A965" s="55" t="s">
        <v>1195</v>
      </c>
      <c r="F965" s="404">
        <f t="shared" ref="F965:S965" si="367">SUM(F953:F954)*0.3719143</f>
        <v>30663899.940348182</v>
      </c>
      <c r="G965" s="404">
        <f t="shared" si="367"/>
        <v>10600060.416658087</v>
      </c>
      <c r="H965" s="404">
        <f t="shared" si="367"/>
        <v>4107477.277338285</v>
      </c>
      <c r="I965" s="404">
        <f t="shared" si="367"/>
        <v>245318.88682801725</v>
      </c>
      <c r="J965" s="404">
        <f t="shared" si="367"/>
        <v>4988744.5293424688</v>
      </c>
      <c r="K965" s="404">
        <f t="shared" si="367"/>
        <v>1077374.1088042806</v>
      </c>
      <c r="L965" s="404">
        <f t="shared" si="367"/>
        <v>649764.48520724615</v>
      </c>
      <c r="M965" s="404">
        <f t="shared" si="367"/>
        <v>4253328.2418047022</v>
      </c>
      <c r="N965" s="404">
        <f t="shared" si="367"/>
        <v>1763199.2482535506</v>
      </c>
      <c r="O965" s="404">
        <f t="shared" si="367"/>
        <v>2446512.0126157515</v>
      </c>
      <c r="P965" s="404">
        <f t="shared" si="367"/>
        <v>529436.57059904304</v>
      </c>
      <c r="Q965" s="404">
        <f t="shared" si="367"/>
        <v>49.787433201332902</v>
      </c>
      <c r="R965" s="404">
        <f t="shared" si="367"/>
        <v>2634.3754635466157</v>
      </c>
      <c r="S965" s="404">
        <f t="shared" si="367"/>
        <v>0</v>
      </c>
      <c r="T965" s="62">
        <f>ROUND(SUM(G965:R965),2)</f>
        <v>30663899.940000001</v>
      </c>
      <c r="U965" s="448" t="str">
        <f>IF(ABS(F965-T965)&lt;0.01,"ok","err")</f>
        <v>ok</v>
      </c>
      <c r="V965" s="76"/>
      <c r="W965" s="76"/>
      <c r="X965" s="76"/>
      <c r="AB965" s="432"/>
      <c r="AC965" s="431"/>
      <c r="AE965" s="62"/>
      <c r="AF965" s="62"/>
      <c r="AG965" s="62"/>
      <c r="AH965" s="62"/>
      <c r="AI965" s="62"/>
      <c r="AJ965" s="62"/>
      <c r="AK965" s="62"/>
      <c r="AL965" s="62"/>
      <c r="AM965" s="62"/>
      <c r="AN965" s="62"/>
      <c r="AO965" s="62"/>
      <c r="AP965" s="62"/>
      <c r="AQ965" s="62"/>
      <c r="AR965" s="62"/>
      <c r="AS965" s="62"/>
      <c r="AT965" s="62"/>
      <c r="AU965" s="62"/>
      <c r="AV965" s="62"/>
      <c r="AW965" s="62"/>
      <c r="AX965" s="62"/>
      <c r="AY965" s="62"/>
      <c r="AZ965" s="62"/>
      <c r="BA965" s="62"/>
      <c r="BB965" s="62"/>
      <c r="BC965" s="62"/>
      <c r="BD965" s="62"/>
      <c r="BE965" s="62"/>
      <c r="BF965" s="62"/>
      <c r="BG965" s="62"/>
      <c r="BH965" s="62"/>
      <c r="BI965" s="62"/>
      <c r="BJ965" s="62"/>
      <c r="BK965" s="62"/>
      <c r="BL965" s="62"/>
      <c r="BM965" s="62"/>
      <c r="BN965" s="62"/>
      <c r="BO965" s="62"/>
      <c r="BP965" s="62"/>
      <c r="BQ965" s="62"/>
      <c r="BR965" s="62"/>
      <c r="BS965" s="62"/>
      <c r="BT965" s="62"/>
      <c r="BU965" s="62"/>
      <c r="BV965" s="62"/>
      <c r="BW965" s="62"/>
      <c r="BX965" s="62"/>
      <c r="BY965" s="62"/>
      <c r="BZ965" s="62"/>
      <c r="CA965" s="62"/>
      <c r="CB965" s="62"/>
    </row>
    <row r="966" spans="1:80" ht="12" customHeight="1" x14ac:dyDescent="0.2">
      <c r="F966" s="404"/>
      <c r="G966" s="404"/>
      <c r="H966" s="404"/>
      <c r="I966" s="404"/>
      <c r="J966" s="404"/>
      <c r="K966" s="404"/>
      <c r="L966" s="404"/>
      <c r="M966" s="404"/>
      <c r="N966" s="404"/>
      <c r="O966" s="404"/>
      <c r="P966" s="404"/>
      <c r="Q966" s="404"/>
      <c r="R966" s="404"/>
      <c r="S966" s="404"/>
      <c r="T966" s="62"/>
      <c r="U966" s="448"/>
      <c r="V966" s="76"/>
      <c r="W966" s="76"/>
      <c r="X966" s="76"/>
      <c r="AB966" s="433"/>
      <c r="AC966" s="432"/>
      <c r="AE966" s="62"/>
      <c r="AF966" s="62"/>
      <c r="AG966" s="62"/>
      <c r="AH966" s="62"/>
      <c r="AI966" s="62"/>
      <c r="AJ966" s="62"/>
      <c r="AK966" s="62"/>
      <c r="AL966" s="62"/>
      <c r="AM966" s="62"/>
      <c r="AN966" s="62"/>
      <c r="AO966" s="62"/>
      <c r="AP966" s="62"/>
      <c r="AQ966" s="62"/>
      <c r="AR966" s="62"/>
      <c r="AS966" s="62"/>
      <c r="AT966" s="62"/>
      <c r="AU966" s="62"/>
      <c r="AV966" s="62"/>
      <c r="AW966" s="62"/>
      <c r="AX966" s="62"/>
      <c r="AY966" s="62"/>
      <c r="AZ966" s="62"/>
      <c r="BA966" s="62"/>
      <c r="BB966" s="62"/>
      <c r="BC966" s="62"/>
      <c r="BD966" s="62"/>
      <c r="BE966" s="62"/>
      <c r="BF966" s="62"/>
      <c r="BG966" s="62"/>
      <c r="BH966" s="62"/>
      <c r="BI966" s="62"/>
      <c r="BJ966" s="62"/>
      <c r="BK966" s="62"/>
      <c r="BL966" s="62"/>
      <c r="BM966" s="62"/>
      <c r="BN966" s="62"/>
      <c r="BO966" s="62"/>
      <c r="BP966" s="62"/>
      <c r="BQ966" s="62"/>
      <c r="BR966" s="62"/>
      <c r="BS966" s="62"/>
      <c r="BT966" s="62"/>
      <c r="BU966" s="62"/>
      <c r="BV966" s="62"/>
      <c r="BW966" s="62"/>
      <c r="BX966" s="62"/>
      <c r="BY966" s="62"/>
      <c r="BZ966" s="62"/>
      <c r="CA966" s="62"/>
      <c r="CB966" s="62"/>
    </row>
    <row r="967" spans="1:80" ht="12" customHeight="1" x14ac:dyDescent="0.2">
      <c r="A967" s="55" t="s">
        <v>241</v>
      </c>
      <c r="F967" s="404">
        <f>F961+F963+F965</f>
        <v>1119167944.9929702</v>
      </c>
      <c r="G967" s="404">
        <f t="shared" ref="G967:R967" si="368">G961+G963+G965</f>
        <v>426827491.44301581</v>
      </c>
      <c r="H967" s="404">
        <f t="shared" si="368"/>
        <v>144664989.00999197</v>
      </c>
      <c r="I967" s="404">
        <f>I961+I963+I965</f>
        <v>9682637.4016554337</v>
      </c>
      <c r="J967" s="404">
        <f t="shared" si="368"/>
        <v>179753362.51712871</v>
      </c>
      <c r="K967" s="404">
        <f t="shared" si="368"/>
        <v>39389777.366355732</v>
      </c>
      <c r="L967" s="404">
        <f t="shared" si="368"/>
        <v>25077965.980300602</v>
      </c>
      <c r="M967" s="404">
        <f>M961+M963+M965</f>
        <v>184028501.48476389</v>
      </c>
      <c r="N967" s="404">
        <f>N961+N963+N965</f>
        <v>75146384.015037566</v>
      </c>
      <c r="O967" s="404">
        <f t="shared" si="368"/>
        <v>17502964.748330366</v>
      </c>
      <c r="P967" s="404">
        <f t="shared" si="368"/>
        <v>16991884.828507818</v>
      </c>
      <c r="Q967" s="404">
        <f t="shared" si="368"/>
        <v>2182.2950230639067</v>
      </c>
      <c r="R967" s="404">
        <f t="shared" si="368"/>
        <v>99804.044271321662</v>
      </c>
      <c r="S967" s="404"/>
      <c r="T967" s="62">
        <f>ROUND(SUM(G967:R967),2)</f>
        <v>1119167945.1300001</v>
      </c>
      <c r="U967" s="448" t="str">
        <f>IF(ABS(F967-T967)&lt;0.01,"ok","err")</f>
        <v>err</v>
      </c>
      <c r="V967" s="76"/>
      <c r="W967" s="76"/>
      <c r="X967" s="76"/>
      <c r="Y967" s="408"/>
      <c r="AB967" s="433"/>
      <c r="AE967" s="62"/>
      <c r="AF967" s="62"/>
      <c r="AG967" s="62"/>
      <c r="AH967" s="62"/>
      <c r="AI967" s="62"/>
      <c r="AJ967" s="62"/>
      <c r="AK967" s="62"/>
      <c r="AL967" s="62"/>
      <c r="AM967" s="62"/>
      <c r="AN967" s="62"/>
      <c r="AO967" s="62"/>
      <c r="AP967" s="62"/>
      <c r="AQ967" s="62"/>
      <c r="AR967" s="62"/>
      <c r="AS967" s="62"/>
      <c r="AT967" s="62"/>
      <c r="AU967" s="62"/>
      <c r="AV967" s="62"/>
      <c r="AW967" s="62"/>
      <c r="AX967" s="62"/>
      <c r="AY967" s="62"/>
      <c r="AZ967" s="62"/>
      <c r="BA967" s="62"/>
      <c r="BB967" s="62"/>
      <c r="BC967" s="62"/>
      <c r="BD967" s="62"/>
      <c r="BE967" s="62"/>
      <c r="BF967" s="62"/>
      <c r="BG967" s="62"/>
      <c r="BH967" s="62"/>
      <c r="BI967" s="62"/>
      <c r="BJ967" s="62"/>
      <c r="BK967" s="62"/>
      <c r="BL967" s="62"/>
      <c r="BM967" s="62"/>
      <c r="BN967" s="62"/>
      <c r="BO967" s="62"/>
      <c r="BP967" s="62"/>
      <c r="BQ967" s="62"/>
      <c r="BR967" s="62"/>
      <c r="BS967" s="62"/>
      <c r="BT967" s="62"/>
      <c r="BU967" s="62"/>
      <c r="BV967" s="62"/>
      <c r="BW967" s="62"/>
      <c r="BX967" s="62"/>
      <c r="BY967" s="62"/>
      <c r="BZ967" s="62"/>
      <c r="CA967" s="62"/>
      <c r="CB967" s="62"/>
    </row>
    <row r="968" spans="1:80" ht="12" customHeight="1" x14ac:dyDescent="0.2">
      <c r="E968" s="62"/>
      <c r="G968" s="62"/>
      <c r="V968" s="174"/>
      <c r="W968" s="174"/>
      <c r="X968" s="174"/>
      <c r="Y968" s="409"/>
      <c r="AB968" s="433"/>
    </row>
    <row r="969" spans="1:80" ht="12" customHeight="1" x14ac:dyDescent="0.2">
      <c r="A969" s="55" t="s">
        <v>1193</v>
      </c>
      <c r="F969" s="404">
        <f>F956-F967</f>
        <v>250977423.51371121</v>
      </c>
      <c r="G969" s="404">
        <f t="shared" ref="G969:R969" si="369">G956-G967</f>
        <v>75953777.154305398</v>
      </c>
      <c r="H969" s="404">
        <f t="shared" si="369"/>
        <v>43179372.203321725</v>
      </c>
      <c r="I969" s="404">
        <f>I956-I967</f>
        <v>2225672.6897237319</v>
      </c>
      <c r="J969" s="404">
        <f t="shared" si="369"/>
        <v>54453879.375533193</v>
      </c>
      <c r="K969" s="404">
        <f t="shared" si="369"/>
        <v>10123246.558126509</v>
      </c>
      <c r="L969" s="404">
        <f t="shared" si="369"/>
        <v>5007845.9131563641</v>
      </c>
      <c r="M969" s="404">
        <f>M956-M967</f>
        <v>35005687.120316237</v>
      </c>
      <c r="N969" s="404">
        <f>N956-N967</f>
        <v>14105950.462273628</v>
      </c>
      <c r="O969" s="404">
        <f t="shared" si="369"/>
        <v>3268896.151808247</v>
      </c>
      <c r="P969" s="404">
        <f t="shared" si="369"/>
        <v>7626936.6420476213</v>
      </c>
      <c r="Q969" s="404">
        <f t="shared" si="369"/>
        <v>236.15497574159554</v>
      </c>
      <c r="R969" s="404">
        <f t="shared" si="369"/>
        <v>25923.144549281409</v>
      </c>
      <c r="S969" s="404"/>
      <c r="T969" s="62">
        <f>ROUND(SUM(G969:R969),2)</f>
        <v>250977423.56999999</v>
      </c>
      <c r="U969" s="61" t="str">
        <f>IF(ABS(F969-T969)&lt;0.01,"ok","err")</f>
        <v>err</v>
      </c>
      <c r="V969" s="449"/>
      <c r="W969" s="76"/>
      <c r="X969" s="174"/>
      <c r="AB969" s="433"/>
    </row>
    <row r="970" spans="1:80" ht="12" customHeight="1" x14ac:dyDescent="0.2">
      <c r="V970" s="174"/>
      <c r="W970" s="174"/>
      <c r="X970" s="174"/>
      <c r="AB970" s="433"/>
    </row>
    <row r="971" spans="1:80" ht="12" customHeight="1" x14ac:dyDescent="0.2">
      <c r="A971" s="171" t="s">
        <v>512</v>
      </c>
      <c r="F971" s="62">
        <f t="shared" ref="F971:R971" si="370">F860</f>
        <v>3310845269.9468822</v>
      </c>
      <c r="G971" s="62">
        <f t="shared" si="370"/>
        <v>1472899750.7976735</v>
      </c>
      <c r="H971" s="62">
        <f t="shared" si="370"/>
        <v>421150054.99246377</v>
      </c>
      <c r="I971" s="62">
        <f t="shared" si="370"/>
        <v>25012957.629772507</v>
      </c>
      <c r="J971" s="62">
        <f t="shared" si="370"/>
        <v>438086049.42700285</v>
      </c>
      <c r="K971" s="62">
        <f t="shared" si="370"/>
        <v>97416904.009549558</v>
      </c>
      <c r="L971" s="62">
        <f t="shared" si="370"/>
        <v>67123253.95440878</v>
      </c>
      <c r="M971" s="62">
        <f t="shared" si="370"/>
        <v>472205604.45946503</v>
      </c>
      <c r="N971" s="62">
        <f t="shared" si="370"/>
        <v>183744053.50925425</v>
      </c>
      <c r="O971" s="62">
        <f t="shared" si="370"/>
        <v>54328625.752492771</v>
      </c>
      <c r="P971" s="62">
        <f t="shared" si="370"/>
        <v>78597518.941739842</v>
      </c>
      <c r="Q971" s="62">
        <f t="shared" si="370"/>
        <v>4843.7529165140977</v>
      </c>
      <c r="R971" s="62">
        <f t="shared" si="370"/>
        <v>275652.7201442463</v>
      </c>
      <c r="S971" s="62"/>
      <c r="T971" s="62">
        <f>T860</f>
        <v>3310845269.9468837</v>
      </c>
      <c r="U971" s="61" t="str">
        <f>IF(ABS(F971-T971)&lt;0.01,"ok","err")</f>
        <v>ok</v>
      </c>
      <c r="V971" s="76"/>
      <c r="W971" s="76"/>
      <c r="X971" s="174"/>
      <c r="AB971" s="433"/>
    </row>
    <row r="972" spans="1:80" ht="12" customHeight="1" thickBot="1" x14ac:dyDescent="0.25">
      <c r="V972" s="174"/>
      <c r="W972" s="174"/>
      <c r="X972" s="174"/>
      <c r="AB972" s="433"/>
    </row>
    <row r="973" spans="1:80" ht="12" customHeight="1" thickBot="1" x14ac:dyDescent="0.25">
      <c r="A973" s="434" t="s">
        <v>534</v>
      </c>
      <c r="B973" s="435"/>
      <c r="C973" s="435"/>
      <c r="D973" s="435"/>
      <c r="E973" s="435"/>
      <c r="F973" s="436">
        <f>F969/F971</f>
        <v>7.5804636897977951E-2</v>
      </c>
      <c r="G973" s="436">
        <f t="shared" ref="G973:R973" si="371">G969/G971</f>
        <v>5.1567513072883174E-2</v>
      </c>
      <c r="H973" s="436">
        <f t="shared" si="371"/>
        <v>0.10252728615717359</v>
      </c>
      <c r="I973" s="436">
        <f>I969/I971</f>
        <v>8.8980788384439222E-2</v>
      </c>
      <c r="J973" s="436">
        <f t="shared" si="371"/>
        <v>0.12429950564907614</v>
      </c>
      <c r="K973" s="436">
        <f t="shared" si="371"/>
        <v>0.1039167345857568</v>
      </c>
      <c r="L973" s="436">
        <f t="shared" si="371"/>
        <v>7.4606721488171227E-2</v>
      </c>
      <c r="M973" s="436">
        <f>M969/M971</f>
        <v>7.4132299129289952E-2</v>
      </c>
      <c r="N973" s="436">
        <f>N969/N971</f>
        <v>7.6769561751086457E-2</v>
      </c>
      <c r="O973" s="436">
        <f t="shared" si="371"/>
        <v>6.0168946048819567E-2</v>
      </c>
      <c r="P973" s="436">
        <f t="shared" si="371"/>
        <v>9.7037880390360209E-2</v>
      </c>
      <c r="Q973" s="436">
        <f t="shared" si="371"/>
        <v>4.875454628093398E-2</v>
      </c>
      <c r="R973" s="436">
        <f t="shared" si="371"/>
        <v>9.4042767057463061E-2</v>
      </c>
      <c r="S973" s="436"/>
      <c r="T973" s="173"/>
      <c r="U973" s="173"/>
      <c r="V973" s="411"/>
      <c r="W973" s="411"/>
      <c r="X973" s="174"/>
      <c r="AB973" s="433"/>
    </row>
    <row r="974" spans="1:80" ht="12" customHeight="1" x14ac:dyDescent="0.2">
      <c r="J974" s="174"/>
      <c r="K974" s="174"/>
      <c r="L974" s="174"/>
      <c r="P974" s="450"/>
      <c r="V974" s="174"/>
      <c r="W974" s="174"/>
      <c r="X974" s="174"/>
      <c r="AB974" s="432"/>
    </row>
    <row r="975" spans="1:80" ht="12" customHeight="1" x14ac:dyDescent="0.2">
      <c r="J975" s="174"/>
      <c r="K975" s="174"/>
      <c r="L975" s="174"/>
      <c r="P975" s="450"/>
      <c r="V975" s="174"/>
      <c r="W975" s="174"/>
      <c r="X975" s="174"/>
      <c r="AB975" s="432"/>
    </row>
    <row r="976" spans="1:80" ht="12" customHeight="1" x14ac:dyDescent="0.2">
      <c r="A976" s="171"/>
      <c r="J976" s="174"/>
      <c r="K976" s="174"/>
      <c r="L976" s="174"/>
      <c r="AB976" s="432"/>
    </row>
    <row r="977" spans="1:22" ht="12" customHeight="1" x14ac:dyDescent="0.2">
      <c r="A977" s="171" t="s">
        <v>2791</v>
      </c>
      <c r="J977" s="174"/>
      <c r="K977" s="174"/>
      <c r="L977" s="174"/>
    </row>
    <row r="978" spans="1:22" ht="12" customHeight="1" x14ac:dyDescent="0.2">
      <c r="J978" s="174"/>
      <c r="K978" s="174"/>
      <c r="L978" s="174"/>
    </row>
    <row r="979" spans="1:22" ht="12" customHeight="1" x14ac:dyDescent="0.2">
      <c r="J979" s="174"/>
      <c r="K979" s="174"/>
      <c r="L979" s="174"/>
    </row>
    <row r="980" spans="1:22" ht="12" customHeight="1" x14ac:dyDescent="0.2">
      <c r="A980" s="171" t="s">
        <v>239</v>
      </c>
      <c r="J980" s="174"/>
      <c r="K980" s="174"/>
      <c r="L980" s="174"/>
    </row>
    <row r="981" spans="1:22" ht="12" customHeight="1" x14ac:dyDescent="0.2">
      <c r="J981" s="174"/>
      <c r="K981" s="174"/>
      <c r="L981" s="174"/>
    </row>
    <row r="982" spans="1:22" ht="12" customHeight="1" x14ac:dyDescent="0.2">
      <c r="A982" s="55" t="s">
        <v>1427</v>
      </c>
      <c r="F982" s="62">
        <f>F956</f>
        <v>1370145368.5066814</v>
      </c>
      <c r="G982" s="62">
        <f t="shared" ref="G982:S982" si="372">G956</f>
        <v>502781268.59732121</v>
      </c>
      <c r="H982" s="62">
        <f t="shared" si="372"/>
        <v>187844361.2133137</v>
      </c>
      <c r="I982" s="62">
        <f t="shared" si="372"/>
        <v>11908310.091379166</v>
      </c>
      <c r="J982" s="62">
        <f t="shared" si="372"/>
        <v>234207241.8926619</v>
      </c>
      <c r="K982" s="62">
        <f t="shared" si="372"/>
        <v>49513023.924482241</v>
      </c>
      <c r="L982" s="62">
        <f t="shared" si="372"/>
        <v>30085811.893456966</v>
      </c>
      <c r="M982" s="62">
        <f t="shared" si="372"/>
        <v>219034188.60508013</v>
      </c>
      <c r="N982" s="62">
        <f t="shared" si="372"/>
        <v>89252334.477311194</v>
      </c>
      <c r="O982" s="62">
        <f t="shared" si="372"/>
        <v>20771860.900138613</v>
      </c>
      <c r="P982" s="62">
        <f t="shared" si="372"/>
        <v>24618821.47055544</v>
      </c>
      <c r="Q982" s="62">
        <f t="shared" si="372"/>
        <v>2418.4499988055022</v>
      </c>
      <c r="R982" s="62">
        <f t="shared" si="372"/>
        <v>125727.18882060307</v>
      </c>
      <c r="S982" s="62">
        <f t="shared" si="372"/>
        <v>0</v>
      </c>
      <c r="T982" s="62">
        <f>ROUND(SUM(G982:R982),2)</f>
        <v>1370145368.7</v>
      </c>
      <c r="U982" s="448" t="str">
        <f>IF(ABS(F982-T982)&lt;0.01,"ok","err")</f>
        <v>err</v>
      </c>
      <c r="V982" s="62">
        <f>IF(U982="err",T982-F982,"")</f>
        <v>0.19331860542297363</v>
      </c>
    </row>
    <row r="983" spans="1:22" ht="12" customHeight="1" x14ac:dyDescent="0.2">
      <c r="J983" s="174"/>
      <c r="K983" s="174"/>
      <c r="L983" s="174"/>
    </row>
    <row r="984" spans="1:22" ht="12" customHeight="1" x14ac:dyDescent="0.2">
      <c r="A984" s="55" t="s">
        <v>1194</v>
      </c>
      <c r="E984" s="447"/>
      <c r="F984" s="62">
        <f t="shared" ref="F984:S984" si="373">($F$973*F971-F969)/(1-$E$996)-SUM(F954:F954)</f>
        <v>-929141.00000004715</v>
      </c>
      <c r="G984" s="62">
        <f t="shared" si="373"/>
        <v>55806592.888059944</v>
      </c>
      <c r="H984" s="62">
        <f t="shared" si="373"/>
        <v>-17951556.742135994</v>
      </c>
      <c r="I984" s="62">
        <f t="shared" si="373"/>
        <v>-526120.38348878734</v>
      </c>
      <c r="J984" s="62">
        <f t="shared" si="373"/>
        <v>-33647421.376599357</v>
      </c>
      <c r="K984" s="62">
        <f t="shared" si="373"/>
        <v>-4337900.5989115387</v>
      </c>
      <c r="L984" s="62">
        <f t="shared" si="373"/>
        <v>119001.95297891409</v>
      </c>
      <c r="M984" s="62">
        <f t="shared" si="373"/>
        <v>1211324.6747053436</v>
      </c>
      <c r="N984" s="62">
        <f t="shared" si="373"/>
        <v>-280302.98128297873</v>
      </c>
      <c r="O984" s="62">
        <f t="shared" si="373"/>
        <v>1342971.2826892789</v>
      </c>
      <c r="P984" s="62">
        <f t="shared" si="373"/>
        <v>-2657825.2341098273</v>
      </c>
      <c r="Q984" s="62">
        <f t="shared" si="373"/>
        <v>204.26953896320302</v>
      </c>
      <c r="R984" s="62">
        <f t="shared" si="373"/>
        <v>-8108.8406518426045</v>
      </c>
      <c r="S984" s="62">
        <f t="shared" si="373"/>
        <v>0</v>
      </c>
      <c r="T984" s="62">
        <f>ROUND(SUM(G984:R984),2)</f>
        <v>-929141.09</v>
      </c>
      <c r="U984" s="448" t="str">
        <f>IF(ABS(F984-T984)&lt;0.01,"ok","err")</f>
        <v>err</v>
      </c>
      <c r="V984" s="62">
        <f>IF(U984="err",T984-F984,"")</f>
        <v>-8.999995281919837E-2</v>
      </c>
    </row>
    <row r="985" spans="1:22" ht="12" customHeight="1" x14ac:dyDescent="0.2">
      <c r="A985" s="55" t="s">
        <v>1192</v>
      </c>
      <c r="E985" s="447"/>
      <c r="F985" s="62">
        <f t="shared" ref="F985:R985" si="374">F954</f>
        <v>929141</v>
      </c>
      <c r="G985" s="62">
        <f t="shared" si="374"/>
        <v>631873.20435102901</v>
      </c>
      <c r="H985" s="62">
        <f t="shared" si="374"/>
        <v>159043.21298298927</v>
      </c>
      <c r="I985" s="62">
        <f t="shared" si="374"/>
        <v>5076.1927201406543</v>
      </c>
      <c r="J985" s="62">
        <f t="shared" si="374"/>
        <v>60040.176034605101</v>
      </c>
      <c r="K985" s="62">
        <f t="shared" si="374"/>
        <v>8293.2905161151011</v>
      </c>
      <c r="L985" s="62">
        <f t="shared" si="374"/>
        <v>8119.8620082032658</v>
      </c>
      <c r="M985" s="62">
        <f t="shared" si="374"/>
        <v>37139.449235141423</v>
      </c>
      <c r="N985" s="62">
        <f t="shared" si="374"/>
        <v>0</v>
      </c>
      <c r="O985" s="62">
        <f t="shared" si="374"/>
        <v>0</v>
      </c>
      <c r="P985" s="62">
        <f t="shared" si="374"/>
        <v>19392.001082481522</v>
      </c>
      <c r="Q985" s="62">
        <f t="shared" si="374"/>
        <v>2.874117067728982</v>
      </c>
      <c r="R985" s="62">
        <f t="shared" si="374"/>
        <v>160.73695222680041</v>
      </c>
      <c r="S985" s="62"/>
      <c r="T985" s="62">
        <f>ROUND(SUM(G985:R985),2)</f>
        <v>929141</v>
      </c>
      <c r="U985" s="448" t="str">
        <f>IF(ABS(F985-T985)&lt;0.01,"ok","err")</f>
        <v>ok</v>
      </c>
      <c r="V985" s="62" t="str">
        <f>IF(U985="err",T985-F985,"")</f>
        <v/>
      </c>
    </row>
    <row r="986" spans="1:22" ht="12" customHeight="1" x14ac:dyDescent="0.2">
      <c r="E986" s="447"/>
      <c r="J986" s="174"/>
      <c r="K986" s="174"/>
      <c r="L986" s="174"/>
    </row>
    <row r="987" spans="1:22" ht="12" customHeight="1" x14ac:dyDescent="0.2">
      <c r="A987" s="55" t="s">
        <v>616</v>
      </c>
      <c r="E987" s="447"/>
      <c r="F987" s="62">
        <f t="shared" ref="F987:R987" si="375">SUM(F982:F986)</f>
        <v>1370145368.5066814</v>
      </c>
      <c r="G987" s="62">
        <f t="shared" si="375"/>
        <v>559219734.68973219</v>
      </c>
      <c r="H987" s="62">
        <f t="shared" si="375"/>
        <v>170051847.68416068</v>
      </c>
      <c r="I987" s="62">
        <f t="shared" si="375"/>
        <v>11387265.90061052</v>
      </c>
      <c r="J987" s="62">
        <f t="shared" si="375"/>
        <v>200619860.69209716</v>
      </c>
      <c r="K987" s="62">
        <f t="shared" si="375"/>
        <v>45183416.616086818</v>
      </c>
      <c r="L987" s="62">
        <f t="shared" si="375"/>
        <v>30212933.708444081</v>
      </c>
      <c r="M987" s="62">
        <f t="shared" si="375"/>
        <v>220282652.72902063</v>
      </c>
      <c r="N987" s="62">
        <f t="shared" si="375"/>
        <v>88972031.496028215</v>
      </c>
      <c r="O987" s="62">
        <f t="shared" si="375"/>
        <v>22114832.18282789</v>
      </c>
      <c r="P987" s="62">
        <f t="shared" si="375"/>
        <v>21980388.237528093</v>
      </c>
      <c r="Q987" s="62">
        <f t="shared" si="375"/>
        <v>2625.5936548364343</v>
      </c>
      <c r="R987" s="62">
        <f t="shared" si="375"/>
        <v>117779.08512098726</v>
      </c>
      <c r="S987" s="62"/>
      <c r="T987" s="62">
        <f>ROUND(SUM(G987:R987),2)</f>
        <v>1370145368.6199999</v>
      </c>
      <c r="U987" s="448" t="str">
        <f>IF(ABS(F987-T987)&lt;0.01,"ok","err")</f>
        <v>err</v>
      </c>
      <c r="V987" s="62">
        <f>IF(U987="err",T987-F987,"")</f>
        <v>0.11331844329833984</v>
      </c>
    </row>
    <row r="988" spans="1:22" ht="12" customHeight="1" x14ac:dyDescent="0.2">
      <c r="A988" s="171"/>
      <c r="E988" s="447"/>
      <c r="J988" s="174"/>
      <c r="K988" s="174"/>
      <c r="L988" s="174"/>
    </row>
    <row r="989" spans="1:22" ht="12" customHeight="1" x14ac:dyDescent="0.2">
      <c r="A989" s="171"/>
      <c r="E989" s="447"/>
      <c r="G989" s="62"/>
      <c r="J989" s="174"/>
      <c r="K989" s="174"/>
      <c r="L989" s="174"/>
    </row>
    <row r="990" spans="1:22" ht="12" customHeight="1" x14ac:dyDescent="0.2">
      <c r="A990" s="171" t="s">
        <v>528</v>
      </c>
      <c r="E990" s="447"/>
      <c r="J990" s="174"/>
      <c r="K990" s="174"/>
      <c r="L990" s="174"/>
    </row>
    <row r="991" spans="1:22" ht="12" customHeight="1" x14ac:dyDescent="0.2">
      <c r="A991" s="171"/>
      <c r="E991" s="447"/>
      <c r="J991" s="174"/>
      <c r="K991" s="174"/>
      <c r="L991" s="174"/>
    </row>
    <row r="992" spans="1:22" ht="12" customHeight="1" x14ac:dyDescent="0.2">
      <c r="A992" s="55" t="s">
        <v>533</v>
      </c>
      <c r="E992" s="447"/>
      <c r="F992" s="62">
        <f t="shared" ref="F992:S992" si="376">SUM(F814:F822)+F965</f>
        <v>1169991895.9929702</v>
      </c>
      <c r="G992" s="62">
        <f t="shared" si="376"/>
        <v>449220416.62787008</v>
      </c>
      <c r="H992" s="62">
        <f t="shared" si="376"/>
        <v>153066220.6356006</v>
      </c>
      <c r="I992" s="62">
        <f t="shared" si="376"/>
        <v>9939131.797862269</v>
      </c>
      <c r="J992" s="62">
        <f t="shared" si="376"/>
        <v>187298902.92650649</v>
      </c>
      <c r="K992" s="62">
        <f t="shared" si="376"/>
        <v>42639540.784638837</v>
      </c>
      <c r="L992" s="62">
        <f t="shared" si="376"/>
        <v>24760087.789568584</v>
      </c>
      <c r="M992" s="62">
        <f t="shared" si="376"/>
        <v>189043627.51637071</v>
      </c>
      <c r="N992" s="62">
        <f t="shared" si="376"/>
        <v>78142777.125054047</v>
      </c>
      <c r="O992" s="62">
        <f t="shared" si="376"/>
        <v>18481634.005909607</v>
      </c>
      <c r="P992" s="62">
        <f t="shared" si="376"/>
        <v>17303415.780920062</v>
      </c>
      <c r="Q992" s="62">
        <f t="shared" si="376"/>
        <v>2228.695912148873</v>
      </c>
      <c r="R992" s="62">
        <f t="shared" si="376"/>
        <v>93912.30834435315</v>
      </c>
      <c r="S992" s="62">
        <f t="shared" si="376"/>
        <v>0</v>
      </c>
      <c r="T992" s="62">
        <f>ROUND(SUM(G992:R992),2)</f>
        <v>1169991895.99</v>
      </c>
      <c r="U992" s="448" t="str">
        <f>IF(ABS(F992-T992)&lt;0.01,"ok","err")</f>
        <v>ok</v>
      </c>
      <c r="V992" s="62" t="str">
        <f>IF(U992="err",T992-F992,"")</f>
        <v/>
      </c>
    </row>
    <row r="993" spans="1:22" ht="12" customHeight="1" x14ac:dyDescent="0.2">
      <c r="E993" s="447"/>
      <c r="J993" s="174"/>
      <c r="K993" s="174"/>
      <c r="L993" s="174"/>
    </row>
    <row r="994" spans="1:22" ht="12" customHeight="1" x14ac:dyDescent="0.2">
      <c r="A994" s="55" t="s">
        <v>240</v>
      </c>
      <c r="E994" s="447"/>
      <c r="F994" s="62">
        <f t="shared" ref="F994:R994" si="377">F963</f>
        <v>-50823951</v>
      </c>
      <c r="G994" s="62">
        <f t="shared" si="377"/>
        <v>-22392925.18485428</v>
      </c>
      <c r="H994" s="62">
        <f t="shared" si="377"/>
        <v>-8401231.6256086137</v>
      </c>
      <c r="I994" s="62">
        <f t="shared" si="377"/>
        <v>-256494.39620683555</v>
      </c>
      <c r="J994" s="62">
        <f t="shared" si="377"/>
        <v>-7545540.4093777863</v>
      </c>
      <c r="K994" s="62">
        <f t="shared" si="377"/>
        <v>-3249763.4182831082</v>
      </c>
      <c r="L994" s="62">
        <f t="shared" si="377"/>
        <v>317878.19073201547</v>
      </c>
      <c r="M994" s="62">
        <f t="shared" si="377"/>
        <v>-5015126.031606812</v>
      </c>
      <c r="N994" s="62">
        <f t="shared" si="377"/>
        <v>-2996393.1100164759</v>
      </c>
      <c r="O994" s="62">
        <f t="shared" si="377"/>
        <v>-978669.25757924293</v>
      </c>
      <c r="P994" s="62">
        <f t="shared" si="377"/>
        <v>-311530.95241224236</v>
      </c>
      <c r="Q994" s="62">
        <f t="shared" si="377"/>
        <v>-46.400889084966188</v>
      </c>
      <c r="R994" s="62">
        <f t="shared" si="377"/>
        <v>5891.7359269685076</v>
      </c>
      <c r="S994" s="62"/>
      <c r="T994" s="62">
        <f>ROUND(SUM(G994:R994),2)</f>
        <v>-50823950.859999999</v>
      </c>
      <c r="U994" s="448" t="str">
        <f>IF(ABS(F994-T994)&lt;0.01,"ok","err")</f>
        <v>err</v>
      </c>
      <c r="V994" s="62">
        <f>IF(U994="err",T994-F994,"")</f>
        <v>0.14000000059604645</v>
      </c>
    </row>
    <row r="995" spans="1:22" ht="12" customHeight="1" x14ac:dyDescent="0.2">
      <c r="J995" s="174"/>
      <c r="K995" s="174"/>
      <c r="L995" s="174"/>
    </row>
    <row r="996" spans="1:22" ht="12" customHeight="1" x14ac:dyDescent="0.2">
      <c r="A996" s="55" t="s">
        <v>1195</v>
      </c>
      <c r="E996" s="55">
        <v>0.36747299999999999</v>
      </c>
      <c r="F996" s="404">
        <f>SUM(F984:F985)*$E$996</f>
        <v>-1.7325692460872232E-8</v>
      </c>
      <c r="G996" s="451">
        <f>SUM(G984:G985)*$E$996</f>
        <v>20739612.450376537</v>
      </c>
      <c r="H996" s="451">
        <f t="shared" ref="H996:R996" si="378">SUM(H984:H985)*$E$996</f>
        <v>-6538268.3240984417</v>
      </c>
      <c r="I996" s="451">
        <f t="shared" si="378"/>
        <v>-191469.6719143269</v>
      </c>
      <c r="J996" s="451">
        <f t="shared" si="378"/>
        <v>-12342455.731915129</v>
      </c>
      <c r="K996" s="451">
        <f t="shared" si="378"/>
        <v>-1591013.7864379915</v>
      </c>
      <c r="L996" s="451">
        <f t="shared" si="378"/>
        <v>46713.834718760976</v>
      </c>
      <c r="M996" s="451">
        <f t="shared" si="378"/>
        <v>458776.85701678187</v>
      </c>
      <c r="N996" s="451">
        <f t="shared" si="378"/>
        <v>-103003.77744100004</v>
      </c>
      <c r="O996" s="451">
        <f t="shared" si="378"/>
        <v>493505.68616367737</v>
      </c>
      <c r="P996" s="451">
        <f t="shared" si="378"/>
        <v>-969552.97544025793</v>
      </c>
      <c r="Q996" s="451">
        <f t="shared" si="378"/>
        <v>76.119700712654677</v>
      </c>
      <c r="R996" s="451">
        <f t="shared" si="378"/>
        <v>-2920.7135108089183</v>
      </c>
      <c r="S996" s="404">
        <f>SUM(S984:S985)*$E$996</f>
        <v>0</v>
      </c>
      <c r="T996" s="62">
        <f>ROUND(SUM(G996:R996),2)</f>
        <v>-0.03</v>
      </c>
      <c r="U996" s="448" t="str">
        <f>IF(ABS(F996-T996)&lt;0.01,"ok","err")</f>
        <v>err</v>
      </c>
      <c r="V996" s="62">
        <f>IF(U996="err",T996-F996,"")</f>
        <v>-2.9999982674307538E-2</v>
      </c>
    </row>
    <row r="997" spans="1:22" ht="12" customHeight="1" x14ac:dyDescent="0.2">
      <c r="J997" s="174"/>
      <c r="K997" s="174"/>
      <c r="L997" s="174"/>
    </row>
    <row r="998" spans="1:22" ht="12" customHeight="1" x14ac:dyDescent="0.2">
      <c r="A998" s="55" t="s">
        <v>241</v>
      </c>
      <c r="F998" s="404">
        <f>F992+F994+F996</f>
        <v>1119167944.9929702</v>
      </c>
      <c r="G998" s="404">
        <f t="shared" ref="G998:R998" si="379">G992+G994+G996</f>
        <v>447567103.89339232</v>
      </c>
      <c r="H998" s="404">
        <f t="shared" si="379"/>
        <v>138126720.68589354</v>
      </c>
      <c r="I998" s="404">
        <f>I992+I994+I996</f>
        <v>9491167.7297411077</v>
      </c>
      <c r="J998" s="404">
        <f t="shared" si="379"/>
        <v>167410906.78521359</v>
      </c>
      <c r="K998" s="404">
        <f t="shared" si="379"/>
        <v>37798763.579917744</v>
      </c>
      <c r="L998" s="404">
        <f t="shared" si="379"/>
        <v>25124679.815019362</v>
      </c>
      <c r="M998" s="404">
        <f>M992+M994+M996</f>
        <v>184487278.34178066</v>
      </c>
      <c r="N998" s="404">
        <f>N992+N994+N996</f>
        <v>75043380.237596571</v>
      </c>
      <c r="O998" s="404">
        <f t="shared" si="379"/>
        <v>17996470.434494041</v>
      </c>
      <c r="P998" s="404">
        <f t="shared" si="379"/>
        <v>16022331.85306756</v>
      </c>
      <c r="Q998" s="404">
        <f t="shared" si="379"/>
        <v>2258.4147237765615</v>
      </c>
      <c r="R998" s="404">
        <f t="shared" si="379"/>
        <v>96883.330760512748</v>
      </c>
      <c r="S998" s="404"/>
      <c r="T998" s="62">
        <f>ROUND(SUM(G998:R998),2)</f>
        <v>1119167945.0999999</v>
      </c>
      <c r="U998" s="448" t="str">
        <f>IF(ABS(F998-T998)&lt;0.01,"ok","err")</f>
        <v>err</v>
      </c>
      <c r="V998" s="62">
        <f>IF(U998="err",T998-F998,"")</f>
        <v>0.10702967643737793</v>
      </c>
    </row>
    <row r="999" spans="1:22" ht="12" customHeight="1" x14ac:dyDescent="0.2">
      <c r="E999" s="62"/>
      <c r="J999" s="174"/>
      <c r="K999" s="174"/>
      <c r="L999" s="174"/>
    </row>
    <row r="1000" spans="1:22" ht="12" customHeight="1" x14ac:dyDescent="0.2">
      <c r="A1000" s="55" t="s">
        <v>1193</v>
      </c>
      <c r="F1000" s="404">
        <f>F987-F998</f>
        <v>250977423.51371121</v>
      </c>
      <c r="G1000" s="404">
        <f t="shared" ref="G1000:R1000" si="380">G987-G998</f>
        <v>111652630.79633987</v>
      </c>
      <c r="H1000" s="404">
        <f t="shared" si="380"/>
        <v>31925126.998267144</v>
      </c>
      <c r="I1000" s="404">
        <f>I987-I998</f>
        <v>1896098.1708694119</v>
      </c>
      <c r="J1000" s="404">
        <f t="shared" si="380"/>
        <v>33208953.906883568</v>
      </c>
      <c r="K1000" s="404">
        <f t="shared" si="380"/>
        <v>7384653.0361690745</v>
      </c>
      <c r="L1000" s="404">
        <f t="shared" si="380"/>
        <v>5088253.8934247196</v>
      </c>
      <c r="M1000" s="404">
        <f>M987-M998</f>
        <v>35795374.387239963</v>
      </c>
      <c r="N1000" s="404">
        <f>N987-N998</f>
        <v>13928651.258431643</v>
      </c>
      <c r="O1000" s="404">
        <f t="shared" si="380"/>
        <v>4118361.748333849</v>
      </c>
      <c r="P1000" s="404">
        <f t="shared" si="380"/>
        <v>5958056.384460533</v>
      </c>
      <c r="Q1000" s="404">
        <f t="shared" si="380"/>
        <v>367.17893105987287</v>
      </c>
      <c r="R1000" s="404">
        <f t="shared" si="380"/>
        <v>20895.754360474515</v>
      </c>
      <c r="S1000" s="404"/>
      <c r="T1000" s="62">
        <f>ROUND(SUM(G1000:R1000),2)</f>
        <v>250977423.50999999</v>
      </c>
      <c r="U1000" s="61" t="str">
        <f>IF(ABS(F1000-T1000)&lt;0.01,"ok","err")</f>
        <v>ok</v>
      </c>
      <c r="V1000" s="62" t="str">
        <f>IF(U1000="err",T1000-F1000,"")</f>
        <v/>
      </c>
    </row>
    <row r="1001" spans="1:22" ht="12" customHeight="1" x14ac:dyDescent="0.2">
      <c r="J1001" s="174"/>
      <c r="K1001" s="174"/>
      <c r="L1001" s="174"/>
    </row>
    <row r="1002" spans="1:22" ht="12" customHeight="1" x14ac:dyDescent="0.2">
      <c r="A1002" s="171" t="s">
        <v>512</v>
      </c>
      <c r="F1002" s="62">
        <f t="shared" ref="F1002:R1002" si="381">F971</f>
        <v>3310845269.9468822</v>
      </c>
      <c r="G1002" s="62">
        <f t="shared" si="381"/>
        <v>1472899750.7976735</v>
      </c>
      <c r="H1002" s="62">
        <f t="shared" si="381"/>
        <v>421150054.99246377</v>
      </c>
      <c r="I1002" s="62">
        <f t="shared" si="381"/>
        <v>25012957.629772507</v>
      </c>
      <c r="J1002" s="62">
        <f t="shared" si="381"/>
        <v>438086049.42700285</v>
      </c>
      <c r="K1002" s="62">
        <f t="shared" si="381"/>
        <v>97416904.009549558</v>
      </c>
      <c r="L1002" s="62">
        <f t="shared" si="381"/>
        <v>67123253.95440878</v>
      </c>
      <c r="M1002" s="62">
        <f t="shared" si="381"/>
        <v>472205604.45946503</v>
      </c>
      <c r="N1002" s="62">
        <f t="shared" si="381"/>
        <v>183744053.50925425</v>
      </c>
      <c r="O1002" s="62">
        <f t="shared" si="381"/>
        <v>54328625.752492771</v>
      </c>
      <c r="P1002" s="62">
        <f t="shared" si="381"/>
        <v>78597518.941739842</v>
      </c>
      <c r="Q1002" s="62">
        <f t="shared" si="381"/>
        <v>4843.7529165140977</v>
      </c>
      <c r="R1002" s="62">
        <f t="shared" si="381"/>
        <v>275652.7201442463</v>
      </c>
      <c r="S1002" s="62"/>
      <c r="T1002" s="62">
        <f>ROUND(SUM(G1002:R1002),2)</f>
        <v>3310845269.9499998</v>
      </c>
      <c r="U1002" s="448" t="str">
        <f>IF(ABS(F1002-T1002)&lt;0.01,"ok","err")</f>
        <v>ok</v>
      </c>
      <c r="V1002" s="62" t="str">
        <f>IF(U1002="err",T1002-F1002,"")</f>
        <v/>
      </c>
    </row>
    <row r="1003" spans="1:22" ht="12" customHeight="1" thickBot="1" x14ac:dyDescent="0.25">
      <c r="J1003" s="174"/>
      <c r="K1003" s="174"/>
      <c r="L1003" s="174"/>
    </row>
    <row r="1004" spans="1:22" ht="12" customHeight="1" thickBot="1" x14ac:dyDescent="0.25">
      <c r="A1004" s="434" t="s">
        <v>534</v>
      </c>
      <c r="B1004" s="435"/>
      <c r="C1004" s="435"/>
      <c r="D1004" s="435"/>
      <c r="E1004" s="435"/>
      <c r="F1004" s="436">
        <f>F1000/F1002</f>
        <v>7.5804636897977951E-2</v>
      </c>
      <c r="G1004" s="436">
        <f t="shared" ref="G1004:R1004" si="382">G1000/G1002</f>
        <v>7.5804636897977964E-2</v>
      </c>
      <c r="H1004" s="436">
        <f t="shared" si="382"/>
        <v>7.5804636897977909E-2</v>
      </c>
      <c r="I1004" s="436">
        <f>I1000/I1002</f>
        <v>7.5804636897977951E-2</v>
      </c>
      <c r="J1004" s="436">
        <f t="shared" si="382"/>
        <v>7.5804636897977937E-2</v>
      </c>
      <c r="K1004" s="436">
        <f t="shared" si="382"/>
        <v>7.5804636897977923E-2</v>
      </c>
      <c r="L1004" s="436">
        <f t="shared" si="382"/>
        <v>7.5804636897977937E-2</v>
      </c>
      <c r="M1004" s="436">
        <f>M1000/M1002</f>
        <v>7.5804636897977992E-2</v>
      </c>
      <c r="N1004" s="436">
        <f>N1000/N1002</f>
        <v>7.5804636897977923E-2</v>
      </c>
      <c r="O1004" s="436">
        <f t="shared" si="382"/>
        <v>7.5804636897977964E-2</v>
      </c>
      <c r="P1004" s="436">
        <f t="shared" si="382"/>
        <v>7.5804636897977951E-2</v>
      </c>
      <c r="Q1004" s="436">
        <f t="shared" si="382"/>
        <v>7.5804636897977951E-2</v>
      </c>
      <c r="R1004" s="436">
        <f t="shared" si="382"/>
        <v>7.5804636897977923E-2</v>
      </c>
      <c r="S1004" s="436"/>
      <c r="V1004" s="436"/>
    </row>
    <row r="1005" spans="1:22" ht="12" customHeight="1" x14ac:dyDescent="0.2">
      <c r="G1005" s="405"/>
      <c r="J1005" s="174"/>
      <c r="K1005" s="174"/>
      <c r="L1005" s="174"/>
    </row>
    <row r="1006" spans="1:22" ht="12" customHeight="1" x14ac:dyDescent="0.2">
      <c r="G1006" s="405"/>
      <c r="J1006" s="174"/>
      <c r="K1006" s="174"/>
      <c r="L1006" s="174"/>
    </row>
    <row r="1007" spans="1:22" ht="12" customHeight="1" x14ac:dyDescent="0.2">
      <c r="J1007" s="174"/>
      <c r="K1007" s="174"/>
      <c r="L1007" s="174"/>
    </row>
    <row r="1008" spans="1:22" ht="12" customHeight="1" x14ac:dyDescent="0.2">
      <c r="A1008" s="171" t="s">
        <v>1196</v>
      </c>
      <c r="B1008" s="171"/>
      <c r="F1008" s="62">
        <f>F956</f>
        <v>1370145368.5066814</v>
      </c>
      <c r="G1008" s="62">
        <f t="shared" ref="G1008:R1008" si="383">G956</f>
        <v>502781268.59732121</v>
      </c>
      <c r="H1008" s="62">
        <f t="shared" si="383"/>
        <v>187844361.2133137</v>
      </c>
      <c r="I1008" s="62">
        <f t="shared" si="383"/>
        <v>11908310.091379166</v>
      </c>
      <c r="J1008" s="62">
        <f t="shared" si="383"/>
        <v>234207241.8926619</v>
      </c>
      <c r="K1008" s="62">
        <f t="shared" si="383"/>
        <v>49513023.924482241</v>
      </c>
      <c r="L1008" s="62">
        <f t="shared" si="383"/>
        <v>30085811.893456966</v>
      </c>
      <c r="M1008" s="62">
        <f t="shared" si="383"/>
        <v>219034188.60508013</v>
      </c>
      <c r="N1008" s="62">
        <f t="shared" si="383"/>
        <v>89252334.477311194</v>
      </c>
      <c r="O1008" s="62">
        <f t="shared" si="383"/>
        <v>20771860.900138613</v>
      </c>
      <c r="P1008" s="62">
        <f t="shared" si="383"/>
        <v>24618821.47055544</v>
      </c>
      <c r="Q1008" s="62">
        <f t="shared" si="383"/>
        <v>2418.4499988055022</v>
      </c>
      <c r="R1008" s="62">
        <f t="shared" si="383"/>
        <v>125727.18882060307</v>
      </c>
      <c r="S1008" s="62"/>
      <c r="T1008" s="62">
        <f>ROUND(SUM(G1008:R1008),2)</f>
        <v>1370145368.7</v>
      </c>
      <c r="U1008" s="61" t="str">
        <f>IF(ABS(F1008-T1008)&lt;0.01,"ok","err")</f>
        <v>err</v>
      </c>
      <c r="V1008" s="62">
        <f>IF(U1008="err",T1008-F1008,"")</f>
        <v>0.19331860542297363</v>
      </c>
    </row>
    <row r="1009" spans="1:22" ht="12" customHeight="1" x14ac:dyDescent="0.2">
      <c r="A1009" s="171"/>
      <c r="B1009" s="171"/>
    </row>
    <row r="1010" spans="1:22" ht="12" customHeight="1" x14ac:dyDescent="0.2">
      <c r="A1010" s="171" t="s">
        <v>1197</v>
      </c>
      <c r="B1010" s="171"/>
      <c r="F1010" s="62">
        <f t="shared" ref="F1010:R1010" si="384">F984</f>
        <v>-929141.00000004715</v>
      </c>
      <c r="G1010" s="62">
        <f t="shared" si="384"/>
        <v>55806592.888059944</v>
      </c>
      <c r="H1010" s="62">
        <f t="shared" si="384"/>
        <v>-17951556.742135994</v>
      </c>
      <c r="I1010" s="62">
        <f t="shared" si="384"/>
        <v>-526120.38348878734</v>
      </c>
      <c r="J1010" s="62">
        <f t="shared" si="384"/>
        <v>-33647421.376599357</v>
      </c>
      <c r="K1010" s="62">
        <f t="shared" si="384"/>
        <v>-4337900.5989115387</v>
      </c>
      <c r="L1010" s="62">
        <f t="shared" si="384"/>
        <v>119001.95297891409</v>
      </c>
      <c r="M1010" s="62">
        <f t="shared" si="384"/>
        <v>1211324.6747053436</v>
      </c>
      <c r="N1010" s="62">
        <f t="shared" si="384"/>
        <v>-280302.98128297873</v>
      </c>
      <c r="O1010" s="62">
        <f t="shared" si="384"/>
        <v>1342971.2826892789</v>
      </c>
      <c r="P1010" s="62">
        <f t="shared" si="384"/>
        <v>-2657825.2341098273</v>
      </c>
      <c r="Q1010" s="62">
        <f t="shared" si="384"/>
        <v>204.26953896320302</v>
      </c>
      <c r="R1010" s="62">
        <f t="shared" si="384"/>
        <v>-8108.8406518426045</v>
      </c>
      <c r="S1010" s="62"/>
      <c r="T1010" s="62">
        <f>ROUND(SUM(G1010:R1010),2)</f>
        <v>-929141.09</v>
      </c>
      <c r="U1010" s="61" t="str">
        <f>IF(ABS(F1010-T1010)&lt;0.01,"ok","err")</f>
        <v>err</v>
      </c>
      <c r="V1010" s="62">
        <f>IF(U1010="err",T1010-F1010,"")</f>
        <v>-8.999995281919837E-2</v>
      </c>
    </row>
    <row r="1011" spans="1:22" ht="12" customHeight="1" x14ac:dyDescent="0.2">
      <c r="A1011" s="171"/>
      <c r="B1011" s="171"/>
    </row>
    <row r="1012" spans="1:22" ht="12" customHeight="1" x14ac:dyDescent="0.2">
      <c r="A1012" s="171" t="s">
        <v>1198</v>
      </c>
      <c r="B1012" s="171"/>
      <c r="F1012" s="407">
        <f>F1010/F1008</f>
        <v>-6.7813315386579449E-4</v>
      </c>
      <c r="G1012" s="407">
        <f t="shared" ref="G1012:R1012" si="385">G1010/G1008</f>
        <v>0.11099576768989694</v>
      </c>
      <c r="H1012" s="407">
        <f t="shared" si="385"/>
        <v>-9.5566119878096475E-2</v>
      </c>
      <c r="I1012" s="407">
        <f>I1010/I1008</f>
        <v>-4.4180944185326844E-2</v>
      </c>
      <c r="J1012" s="407">
        <f t="shared" si="385"/>
        <v>-0.14366516212175925</v>
      </c>
      <c r="K1012" s="407">
        <f t="shared" si="385"/>
        <v>-8.7611304159643896E-2</v>
      </c>
      <c r="L1012" s="407">
        <f t="shared" si="385"/>
        <v>3.9554177032129394E-3</v>
      </c>
      <c r="M1012" s="407">
        <f>M1010/M1008</f>
        <v>5.5302995501280792E-3</v>
      </c>
      <c r="N1012" s="407">
        <f>N1010/N1008</f>
        <v>-3.1405675036347029E-3</v>
      </c>
      <c r="O1012" s="407">
        <f t="shared" si="385"/>
        <v>6.4653392834934556E-2</v>
      </c>
      <c r="P1012" s="407">
        <f t="shared" si="385"/>
        <v>-0.10795907664745995</v>
      </c>
      <c r="Q1012" s="407">
        <f t="shared" si="385"/>
        <v>8.446299864131733E-2</v>
      </c>
      <c r="R1012" s="407">
        <f t="shared" si="385"/>
        <v>-6.4495521835081379E-2</v>
      </c>
      <c r="S1012" s="407"/>
      <c r="V1012" s="407"/>
    </row>
    <row r="1013" spans="1:22" ht="12" customHeight="1" x14ac:dyDescent="0.2">
      <c r="J1013" s="174"/>
      <c r="K1013" s="174"/>
      <c r="L1013" s="174"/>
    </row>
    <row r="1014" spans="1:22" ht="12" customHeight="1" x14ac:dyDescent="0.2">
      <c r="A1014" s="171" t="s">
        <v>2355</v>
      </c>
      <c r="F1014" s="62">
        <f t="shared" ref="F1014:T1014" si="386">F984-F953</f>
        <v>-82448832.810000047</v>
      </c>
      <c r="G1014" s="62">
        <f t="shared" si="386"/>
        <v>27937113.988826662</v>
      </c>
      <c r="H1014" s="62">
        <f t="shared" si="386"/>
        <v>-28836663.424272083</v>
      </c>
      <c r="I1014" s="62">
        <f t="shared" si="386"/>
        <v>-1180655.5228094347</v>
      </c>
      <c r="J1014" s="62">
        <f t="shared" si="386"/>
        <v>-47001074.97179772</v>
      </c>
      <c r="K1014" s="62">
        <f t="shared" si="386"/>
        <v>-7226441.6296470687</v>
      </c>
      <c r="L1014" s="62">
        <f t="shared" si="386"/>
        <v>-1619959.3948702239</v>
      </c>
      <c r="M1014" s="62">
        <f t="shared" si="386"/>
        <v>-10187848.601342471</v>
      </c>
      <c r="N1014" s="62">
        <f t="shared" si="386"/>
        <v>-5021178.0921715638</v>
      </c>
      <c r="O1014" s="62">
        <f t="shared" si="386"/>
        <v>-5235189.3651152058</v>
      </c>
      <c r="P1014" s="62">
        <f t="shared" si="386"/>
        <v>-4061977.7716456326</v>
      </c>
      <c r="Q1014" s="62">
        <f t="shared" si="386"/>
        <v>73.275629979411775</v>
      </c>
      <c r="R1014" s="62">
        <f t="shared" si="386"/>
        <v>-15031.389993115721</v>
      </c>
      <c r="S1014" s="62">
        <f t="shared" si="386"/>
        <v>0</v>
      </c>
      <c r="T1014" s="62">
        <f t="shared" si="386"/>
        <v>-82448832.900000006</v>
      </c>
      <c r="U1014" s="61" t="str">
        <f>IF(ABS(F1014-T1014)&lt;0.01,"ok","err")</f>
        <v>err</v>
      </c>
    </row>
    <row r="1015" spans="1:22" ht="12" customHeight="1" x14ac:dyDescent="0.2">
      <c r="K1015" s="61"/>
    </row>
    <row r="1016" spans="1:22" ht="12" customHeight="1" x14ac:dyDescent="0.2">
      <c r="G1016" s="62"/>
      <c r="H1016" s="62"/>
      <c r="J1016" s="62"/>
      <c r="O1016" s="62"/>
    </row>
    <row r="1017" spans="1:22" ht="12" customHeight="1" x14ac:dyDescent="0.2">
      <c r="A1017" s="50" t="s">
        <v>2821</v>
      </c>
    </row>
    <row r="1018" spans="1:22" ht="12" customHeight="1" x14ac:dyDescent="0.2">
      <c r="B1018" s="171"/>
    </row>
    <row r="1020" spans="1:22" ht="12" customHeight="1" x14ac:dyDescent="0.2">
      <c r="A1020" s="171" t="s">
        <v>239</v>
      </c>
    </row>
    <row r="1022" spans="1:22" ht="12" customHeight="1" x14ac:dyDescent="0.2">
      <c r="A1022" s="55" t="s">
        <v>1427</v>
      </c>
      <c r="F1022" s="62">
        <f t="shared" ref="F1022:S1022" si="387">F809</f>
        <v>1287696535.6966815</v>
      </c>
      <c r="G1022" s="62">
        <f t="shared" si="387"/>
        <v>474279916.49373692</v>
      </c>
      <c r="H1022" s="62">
        <f t="shared" si="387"/>
        <v>176800211.31819463</v>
      </c>
      <c r="I1022" s="62">
        <f t="shared" si="387"/>
        <v>11248698.759338377</v>
      </c>
      <c r="J1022" s="62">
        <f t="shared" si="387"/>
        <v>220793548.12142894</v>
      </c>
      <c r="K1022" s="62">
        <f t="shared" si="387"/>
        <v>46616189.603230596</v>
      </c>
      <c r="L1022" s="62">
        <f t="shared" si="387"/>
        <v>28338730.683599625</v>
      </c>
      <c r="M1022" s="62">
        <f t="shared" si="387"/>
        <v>207597875.87979716</v>
      </c>
      <c r="N1022" s="62">
        <f t="shared" si="387"/>
        <v>84511459.366422608</v>
      </c>
      <c r="O1022" s="62">
        <f t="shared" si="387"/>
        <v>14193700.252334129</v>
      </c>
      <c r="P1022" s="62">
        <f t="shared" si="387"/>
        <v>23195276.931937154</v>
      </c>
      <c r="Q1022" s="62">
        <f t="shared" si="387"/>
        <v>2284.581972753982</v>
      </c>
      <c r="R1022" s="62">
        <f t="shared" si="387"/>
        <v>118643.90252710316</v>
      </c>
      <c r="S1022" s="62">
        <f t="shared" si="387"/>
        <v>0</v>
      </c>
      <c r="T1022" s="62">
        <f>ROUND(SUM(G1022:R1022),2)</f>
        <v>1287696535.8900001</v>
      </c>
      <c r="U1022" s="61" t="str">
        <f>IF(ABS(F1022-T1022)&lt;0.01,"ok","err")</f>
        <v>err</v>
      </c>
    </row>
    <row r="1023" spans="1:22" ht="12" customHeight="1" x14ac:dyDescent="0.2">
      <c r="F1023" s="62"/>
      <c r="G1023" s="62"/>
      <c r="H1023" s="62"/>
      <c r="I1023" s="62"/>
      <c r="J1023" s="62"/>
      <c r="K1023" s="62"/>
      <c r="L1023" s="62"/>
      <c r="M1023" s="62"/>
      <c r="N1023" s="62"/>
      <c r="O1023" s="62"/>
      <c r="P1023" s="62"/>
      <c r="Q1023" s="62"/>
      <c r="R1023" s="62"/>
      <c r="S1023" s="62"/>
      <c r="T1023" s="62"/>
      <c r="U1023" s="61"/>
    </row>
    <row r="1024" spans="1:22" ht="12" customHeight="1" x14ac:dyDescent="0.2">
      <c r="A1024" s="55" t="s">
        <v>1178</v>
      </c>
      <c r="E1024" s="447"/>
      <c r="F1024" s="62">
        <v>81519691.809397504</v>
      </c>
      <c r="G1024" s="404">
        <v>35400800.115044743</v>
      </c>
      <c r="H1024" s="404">
        <v>8328656.1924186256</v>
      </c>
      <c r="I1024" s="404">
        <v>589083.25986548257</v>
      </c>
      <c r="J1024" s="404">
        <v>8825086.4368516076</v>
      </c>
      <c r="K1024" s="404">
        <v>2343193.2795786299</v>
      </c>
      <c r="L1024" s="404">
        <v>1790882.1150372771</v>
      </c>
      <c r="M1024" s="404">
        <v>11695300.538451297</v>
      </c>
      <c r="N1024" s="404">
        <v>4791372.8732140725</v>
      </c>
      <c r="O1024" s="404">
        <v>6578160.6478044847</v>
      </c>
      <c r="P1024" s="404">
        <v>1171439.4630524695</v>
      </c>
      <c r="Q1024" s="404">
        <v>160.29736650205331</v>
      </c>
      <c r="R1024" s="404">
        <v>5556.5907123249972</v>
      </c>
      <c r="S1024" s="447"/>
      <c r="T1024" s="62">
        <f>SUM(G1024:R1024)</f>
        <v>81519691.809397504</v>
      </c>
      <c r="U1024" s="61" t="str">
        <f>IF(ABS(F1024-T1024)&lt;0.01,"ok","err")</f>
        <v>ok</v>
      </c>
    </row>
    <row r="1025" spans="1:21" ht="12" customHeight="1" x14ac:dyDescent="0.2">
      <c r="A1025" s="55" t="s">
        <v>1192</v>
      </c>
      <c r="E1025" s="447" t="s">
        <v>2731</v>
      </c>
      <c r="F1025" s="404">
        <f>F954</f>
        <v>929141</v>
      </c>
      <c r="G1025" s="404">
        <f t="shared" ref="G1025:R1025" si="388">IF(VLOOKUP($E1025,$D$5:$AH$1244,3,)=0,0,(VLOOKUP($E1025,$D$5:$AH$1244,G$1,)/VLOOKUP($E1025,$D$5:$AH$1244,3,))*$F1025)</f>
        <v>842853.28971216839</v>
      </c>
      <c r="H1025" s="404">
        <f t="shared" si="388"/>
        <v>29971.532955749117</v>
      </c>
      <c r="I1025" s="404">
        <f t="shared" si="388"/>
        <v>370.55179102301508</v>
      </c>
      <c r="J1025" s="404">
        <f t="shared" si="388"/>
        <v>1855.2932875402983</v>
      </c>
      <c r="K1025" s="404">
        <f t="shared" si="388"/>
        <v>35379.63799116914</v>
      </c>
      <c r="L1025" s="404">
        <f t="shared" si="388"/>
        <v>1461.9527935470662</v>
      </c>
      <c r="M1025" s="404">
        <f t="shared" si="388"/>
        <v>55.165692940408995</v>
      </c>
      <c r="N1025" s="404">
        <f t="shared" si="388"/>
        <v>0</v>
      </c>
      <c r="O1025" s="404">
        <f t="shared" si="388"/>
        <v>70.174103599754247</v>
      </c>
      <c r="P1025" s="404">
        <f t="shared" si="388"/>
        <v>17123.403283336156</v>
      </c>
      <c r="Q1025" s="404">
        <f t="shared" si="388"/>
        <v>0</v>
      </c>
      <c r="R1025" s="404">
        <f t="shared" si="388"/>
        <v>0</v>
      </c>
      <c r="S1025" s="404"/>
      <c r="T1025" s="62">
        <f>SUM(G1025:R1025)</f>
        <v>929141.00161107327</v>
      </c>
      <c r="U1025" s="61" t="str">
        <f>IF(ABS(F1025-T1025)&lt;0.01,"ok","err")</f>
        <v>ok</v>
      </c>
    </row>
    <row r="1026" spans="1:21" ht="12" customHeight="1" x14ac:dyDescent="0.2">
      <c r="E1026" s="447"/>
      <c r="F1026" s="404"/>
      <c r="G1026" s="404">
        <v>0</v>
      </c>
      <c r="H1026" s="404">
        <v>0</v>
      </c>
      <c r="I1026" s="404">
        <v>0</v>
      </c>
      <c r="J1026" s="404">
        <v>0</v>
      </c>
      <c r="K1026" s="404">
        <v>0</v>
      </c>
      <c r="L1026" s="404">
        <v>0</v>
      </c>
      <c r="M1026" s="404">
        <v>0</v>
      </c>
      <c r="N1026" s="404">
        <v>0</v>
      </c>
      <c r="O1026" s="404">
        <v>0</v>
      </c>
      <c r="P1026" s="404">
        <v>0</v>
      </c>
      <c r="Q1026" s="404">
        <v>0</v>
      </c>
      <c r="R1026" s="404">
        <v>0</v>
      </c>
      <c r="S1026" s="404">
        <v>0</v>
      </c>
      <c r="T1026" s="62">
        <f>SUM(G1026:R1026)</f>
        <v>0</v>
      </c>
      <c r="U1026" s="61" t="str">
        <f>IF(ABS(F1026-T1026)&lt;0.01,"ok","err")</f>
        <v>ok</v>
      </c>
    </row>
    <row r="1027" spans="1:21" ht="12" customHeight="1" x14ac:dyDescent="0.2">
      <c r="E1027" s="447"/>
      <c r="F1027" s="404"/>
      <c r="G1027" s="404"/>
      <c r="H1027" s="447"/>
      <c r="I1027" s="447"/>
      <c r="J1027" s="447"/>
      <c r="K1027" s="447"/>
      <c r="L1027" s="447"/>
      <c r="M1027" s="447"/>
      <c r="N1027" s="447"/>
      <c r="O1027" s="447"/>
      <c r="P1027" s="447"/>
      <c r="Q1027" s="447"/>
      <c r="R1027" s="447"/>
      <c r="S1027" s="447"/>
      <c r="T1027" s="62"/>
      <c r="U1027" s="61"/>
    </row>
    <row r="1028" spans="1:21" ht="12" customHeight="1" x14ac:dyDescent="0.2">
      <c r="A1028" s="55" t="s">
        <v>616</v>
      </c>
      <c r="E1028" s="447"/>
      <c r="F1028" s="404">
        <f t="shared" ref="F1028:R1028" si="389">SUM(F1022:F1027)</f>
        <v>1370145368.506079</v>
      </c>
      <c r="G1028" s="404">
        <f t="shared" si="389"/>
        <v>510523569.89849389</v>
      </c>
      <c r="H1028" s="404">
        <f t="shared" si="389"/>
        <v>185158839.043569</v>
      </c>
      <c r="I1028" s="404">
        <f t="shared" si="389"/>
        <v>11838152.570994884</v>
      </c>
      <c r="J1028" s="404">
        <f t="shared" si="389"/>
        <v>229620489.8515681</v>
      </c>
      <c r="K1028" s="404">
        <f t="shared" si="389"/>
        <v>48994762.520800389</v>
      </c>
      <c r="L1028" s="404">
        <f t="shared" si="389"/>
        <v>30131074.751430448</v>
      </c>
      <c r="M1028" s="404">
        <f t="shared" si="389"/>
        <v>219293231.5839414</v>
      </c>
      <c r="N1028" s="404">
        <f t="shared" si="389"/>
        <v>89302832.239636675</v>
      </c>
      <c r="O1028" s="404">
        <f t="shared" si="389"/>
        <v>20771931.074242212</v>
      </c>
      <c r="P1028" s="404">
        <f t="shared" si="389"/>
        <v>24383839.79827296</v>
      </c>
      <c r="Q1028" s="404">
        <f t="shared" si="389"/>
        <v>2444.8793392560351</v>
      </c>
      <c r="R1028" s="404">
        <f t="shared" si="389"/>
        <v>124200.49323942815</v>
      </c>
      <c r="S1028" s="404"/>
      <c r="T1028" s="404">
        <f>SUM(T1022:T1027)</f>
        <v>1370145368.7010086</v>
      </c>
      <c r="U1028" s="61" t="str">
        <f>IF(ABS(F1028-T1028)&lt;0.01,"ok","err")</f>
        <v>err</v>
      </c>
    </row>
    <row r="1029" spans="1:21" ht="12" customHeight="1" x14ac:dyDescent="0.2">
      <c r="A1029" s="171"/>
      <c r="E1029" s="447"/>
      <c r="F1029" s="404"/>
      <c r="G1029" s="404"/>
      <c r="H1029" s="404"/>
      <c r="I1029" s="404"/>
      <c r="J1029" s="404"/>
      <c r="K1029" s="404"/>
      <c r="L1029" s="404"/>
      <c r="M1029" s="404"/>
      <c r="N1029" s="404"/>
      <c r="O1029" s="404"/>
      <c r="P1029" s="404"/>
      <c r="Q1029" s="404"/>
      <c r="R1029" s="404"/>
      <c r="S1029" s="404"/>
      <c r="T1029" s="62"/>
      <c r="U1029" s="61"/>
    </row>
    <row r="1030" spans="1:21" ht="12" customHeight="1" x14ac:dyDescent="0.2">
      <c r="A1030" s="171"/>
      <c r="E1030" s="447"/>
      <c r="F1030" s="404"/>
      <c r="G1030" s="404"/>
      <c r="H1030" s="404"/>
      <c r="I1030" s="404"/>
      <c r="J1030" s="404"/>
      <c r="K1030" s="404"/>
      <c r="L1030" s="404"/>
      <c r="M1030" s="404"/>
      <c r="N1030" s="404"/>
      <c r="O1030" s="404"/>
      <c r="P1030" s="404"/>
      <c r="Q1030" s="404"/>
      <c r="R1030" s="404"/>
      <c r="S1030" s="404"/>
      <c r="T1030" s="62"/>
      <c r="U1030" s="61"/>
    </row>
    <row r="1031" spans="1:21" ht="12" customHeight="1" x14ac:dyDescent="0.2">
      <c r="A1031" s="171" t="s">
        <v>528</v>
      </c>
      <c r="E1031" s="447"/>
      <c r="F1031" s="404"/>
      <c r="G1031" s="404"/>
      <c r="H1031" s="404"/>
      <c r="I1031" s="404"/>
      <c r="J1031" s="404"/>
      <c r="K1031" s="404"/>
      <c r="L1031" s="404"/>
      <c r="M1031" s="404"/>
      <c r="N1031" s="404"/>
      <c r="O1031" s="404"/>
      <c r="P1031" s="404"/>
      <c r="Q1031" s="404"/>
      <c r="R1031" s="404"/>
      <c r="S1031" s="404"/>
      <c r="T1031" s="62"/>
      <c r="U1031" s="61"/>
    </row>
    <row r="1032" spans="1:21" ht="12" customHeight="1" x14ac:dyDescent="0.2">
      <c r="A1032" s="171"/>
      <c r="E1032" s="447"/>
      <c r="F1032" s="404"/>
      <c r="G1032" s="404"/>
      <c r="H1032" s="404"/>
      <c r="I1032" s="404"/>
      <c r="J1032" s="404"/>
      <c r="K1032" s="404"/>
      <c r="L1032" s="404"/>
      <c r="M1032" s="404"/>
      <c r="N1032" s="404"/>
      <c r="O1032" s="404"/>
      <c r="P1032" s="404"/>
      <c r="Q1032" s="404"/>
      <c r="R1032" s="404"/>
      <c r="S1032" s="404"/>
      <c r="T1032" s="62"/>
      <c r="U1032" s="61"/>
    </row>
    <row r="1033" spans="1:21" ht="12" customHeight="1" x14ac:dyDescent="0.2">
      <c r="A1033" s="55" t="s">
        <v>533</v>
      </c>
      <c r="E1033" s="447"/>
      <c r="F1033" s="404">
        <f t="shared" ref="F1033:S1033" si="390">F682</f>
        <v>1139327996.0526221</v>
      </c>
      <c r="G1033" s="404">
        <f t="shared" si="390"/>
        <v>438620356.21121198</v>
      </c>
      <c r="H1033" s="404">
        <f t="shared" si="390"/>
        <v>148958743.3582623</v>
      </c>
      <c r="I1033" s="404">
        <f t="shared" si="390"/>
        <v>9693812.9110342525</v>
      </c>
      <c r="J1033" s="404">
        <f t="shared" si="390"/>
        <v>182310158.39716402</v>
      </c>
      <c r="K1033" s="404">
        <f t="shared" si="390"/>
        <v>41562166.675834559</v>
      </c>
      <c r="L1033" s="404">
        <f t="shared" si="390"/>
        <v>24110323.30436134</v>
      </c>
      <c r="M1033" s="404">
        <f t="shared" si="390"/>
        <v>184790299.27456602</v>
      </c>
      <c r="N1033" s="404">
        <f t="shared" si="390"/>
        <v>76379577.876800492</v>
      </c>
      <c r="O1033" s="404">
        <f t="shared" si="390"/>
        <v>16035121.993293857</v>
      </c>
      <c r="P1033" s="404">
        <f t="shared" si="390"/>
        <v>16773979.210321018</v>
      </c>
      <c r="Q1033" s="404">
        <f t="shared" si="390"/>
        <v>2178.9084789475401</v>
      </c>
      <c r="R1033" s="404">
        <f t="shared" si="390"/>
        <v>91277.932880806533</v>
      </c>
      <c r="S1033" s="404">
        <f t="shared" si="390"/>
        <v>0</v>
      </c>
      <c r="T1033" s="62">
        <f>ROUND(SUM(G1033:R1033),2)</f>
        <v>1139327996.05</v>
      </c>
      <c r="U1033" s="448" t="str">
        <f>IF(ABS(F1033-T1033)&lt;0.01,"ok","err")</f>
        <v>ok</v>
      </c>
    </row>
    <row r="1034" spans="1:21" ht="12" customHeight="1" x14ac:dyDescent="0.2">
      <c r="E1034" s="447"/>
      <c r="F1034" s="404"/>
      <c r="G1034" s="404"/>
      <c r="H1034" s="404"/>
      <c r="I1034" s="404"/>
      <c r="J1034" s="404"/>
      <c r="K1034" s="404"/>
      <c r="L1034" s="404"/>
      <c r="M1034" s="404"/>
      <c r="N1034" s="404"/>
      <c r="O1034" s="404"/>
      <c r="P1034" s="404"/>
      <c r="Q1034" s="404"/>
      <c r="R1034" s="404"/>
      <c r="S1034" s="404"/>
      <c r="T1034" s="62"/>
      <c r="U1034" s="448"/>
    </row>
    <row r="1035" spans="1:21" ht="12" customHeight="1" x14ac:dyDescent="0.2">
      <c r="A1035" s="55" t="s">
        <v>240</v>
      </c>
      <c r="E1035" s="447"/>
      <c r="F1035" s="404">
        <f t="shared" ref="F1035:S1035" si="391">F848</f>
        <v>-50823951</v>
      </c>
      <c r="G1035" s="404">
        <f t="shared" si="391"/>
        <v>-22392925.18485428</v>
      </c>
      <c r="H1035" s="404">
        <f t="shared" si="391"/>
        <v>-8401231.6256086137</v>
      </c>
      <c r="I1035" s="404">
        <f t="shared" si="391"/>
        <v>-256494.39620683555</v>
      </c>
      <c r="J1035" s="404">
        <f t="shared" si="391"/>
        <v>-7545540.4093777863</v>
      </c>
      <c r="K1035" s="404">
        <f t="shared" si="391"/>
        <v>-3249763.4182831082</v>
      </c>
      <c r="L1035" s="404">
        <f t="shared" si="391"/>
        <v>317878.19073201547</v>
      </c>
      <c r="M1035" s="404">
        <f t="shared" si="391"/>
        <v>-5015126.031606812</v>
      </c>
      <c r="N1035" s="404">
        <f t="shared" si="391"/>
        <v>-2996393.1100164759</v>
      </c>
      <c r="O1035" s="404">
        <f t="shared" si="391"/>
        <v>-978669.25757924293</v>
      </c>
      <c r="P1035" s="404">
        <f t="shared" si="391"/>
        <v>-311530.95241224236</v>
      </c>
      <c r="Q1035" s="404">
        <f t="shared" si="391"/>
        <v>-46.400889084966188</v>
      </c>
      <c r="R1035" s="404">
        <f t="shared" si="391"/>
        <v>5891.7359269685076</v>
      </c>
      <c r="S1035" s="404">
        <f t="shared" si="391"/>
        <v>0</v>
      </c>
      <c r="T1035" s="62">
        <f>ROUND(SUM(G1035:R1035),2)</f>
        <v>-50823950.859999999</v>
      </c>
      <c r="U1035" s="448" t="str">
        <f>IF(ABS(F1035-T1035)&lt;0.01,"ok","err")</f>
        <v>err</v>
      </c>
    </row>
    <row r="1036" spans="1:21" ht="12" customHeight="1" x14ac:dyDescent="0.2">
      <c r="G1036" s="62"/>
    </row>
    <row r="1037" spans="1:21" ht="12" customHeight="1" x14ac:dyDescent="0.2">
      <c r="A1037" s="55" t="s">
        <v>1195</v>
      </c>
      <c r="E1037" s="55">
        <f>E996</f>
        <v>0.36747299999999999</v>
      </c>
      <c r="F1037" s="404">
        <f>SUM(F1024:F1026)*$E$1037</f>
        <v>30297719.938967727</v>
      </c>
      <c r="G1037" s="404">
        <f t="shared" ref="G1037:R1037" si="392">SUM(G1024:G1026)*$E$1037</f>
        <v>13318564.047606235</v>
      </c>
      <c r="H1037" s="404">
        <f t="shared" si="392"/>
        <v>3071570.0061264974</v>
      </c>
      <c r="I1037" s="404">
        <f t="shared" si="392"/>
        <v>216608.36053085106</v>
      </c>
      <c r="J1037" s="404">
        <f t="shared" si="392"/>
        <v>3243662.7583994227</v>
      </c>
      <c r="K1037" s="404">
        <f t="shared" si="392"/>
        <v>874061.32573812664</v>
      </c>
      <c r="L1037" s="404">
        <f t="shared" si="392"/>
        <v>658638.05163799645</v>
      </c>
      <c r="M1037" s="404">
        <f t="shared" si="392"/>
        <v>4297727.4466689955</v>
      </c>
      <c r="N1037" s="404">
        <f t="shared" si="392"/>
        <v>1760700.1638385949</v>
      </c>
      <c r="O1037" s="404">
        <f t="shared" si="392"/>
        <v>2417322.2148190294</v>
      </c>
      <c r="P1037" s="404">
        <f t="shared" si="392"/>
        <v>436764.76218101755</v>
      </c>
      <c r="Q1037" s="404">
        <f t="shared" si="392"/>
        <v>58.904954160609037</v>
      </c>
      <c r="R1037" s="404">
        <f t="shared" si="392"/>
        <v>2041.8970588302036</v>
      </c>
      <c r="S1037" s="404">
        <f>SUM(S1024:S1026)*0.367473</f>
        <v>0</v>
      </c>
      <c r="T1037" s="62">
        <f>ROUND(SUM(G1037:R1037),2)</f>
        <v>30297719.940000001</v>
      </c>
      <c r="U1037" s="448" t="str">
        <f>IF(ABS(F1037-T1037)&lt;0.01,"ok","err")</f>
        <v>ok</v>
      </c>
    </row>
    <row r="1038" spans="1:21" ht="12" customHeight="1" x14ac:dyDescent="0.2">
      <c r="F1038" s="404"/>
      <c r="G1038" s="404"/>
      <c r="H1038" s="404"/>
      <c r="I1038" s="404"/>
      <c r="J1038" s="404"/>
      <c r="K1038" s="404"/>
      <c r="L1038" s="404"/>
      <c r="M1038" s="404"/>
      <c r="N1038" s="404"/>
      <c r="O1038" s="404"/>
      <c r="P1038" s="404"/>
      <c r="Q1038" s="404"/>
      <c r="R1038" s="404"/>
      <c r="S1038" s="404"/>
      <c r="T1038" s="62"/>
      <c r="U1038" s="448"/>
    </row>
    <row r="1039" spans="1:21" ht="12" customHeight="1" x14ac:dyDescent="0.2">
      <c r="A1039" s="55" t="s">
        <v>241</v>
      </c>
      <c r="F1039" s="404">
        <f t="shared" ref="F1039:N1039" si="393">F1033+F1035+F1037</f>
        <v>1118801764.9915898</v>
      </c>
      <c r="G1039" s="404">
        <f t="shared" si="393"/>
        <v>429545995.07396394</v>
      </c>
      <c r="H1039" s="404">
        <f t="shared" si="393"/>
        <v>143629081.73878017</v>
      </c>
      <c r="I1039" s="404">
        <f t="shared" si="393"/>
        <v>9653926.8753582686</v>
      </c>
      <c r="J1039" s="404">
        <f t="shared" si="393"/>
        <v>178008280.74618566</v>
      </c>
      <c r="K1039" s="404">
        <f t="shared" si="393"/>
        <v>39186464.583289579</v>
      </c>
      <c r="L1039" s="404">
        <f t="shared" si="393"/>
        <v>25086839.546731353</v>
      </c>
      <c r="M1039" s="404">
        <f t="shared" si="393"/>
        <v>184072900.68962818</v>
      </c>
      <c r="N1039" s="404">
        <f t="shared" si="393"/>
        <v>75143884.930622607</v>
      </c>
      <c r="O1039" s="404">
        <f>O1033+O1035+O1037</f>
        <v>17473774.950533643</v>
      </c>
      <c r="P1039" s="404">
        <f>P1033+P1035+P1037</f>
        <v>16899213.020089794</v>
      </c>
      <c r="Q1039" s="404">
        <f>Q1033+Q1035+Q1037</f>
        <v>2191.4125440231828</v>
      </c>
      <c r="R1039" s="404">
        <f>R1033+R1035+R1037</f>
        <v>99211.565866605248</v>
      </c>
      <c r="S1039" s="404"/>
      <c r="T1039" s="62">
        <f>ROUND(SUM(G1039:R1039),2)</f>
        <v>1118801765.1300001</v>
      </c>
      <c r="U1039" s="448" t="str">
        <f>IF(ABS(F1039-T1039)&lt;0.01,"ok","err")</f>
        <v>err</v>
      </c>
    </row>
    <row r="1040" spans="1:21" ht="12" customHeight="1" x14ac:dyDescent="0.2">
      <c r="E1040" s="62"/>
      <c r="G1040" s="62"/>
    </row>
    <row r="1041" spans="1:21" ht="12" customHeight="1" x14ac:dyDescent="0.2">
      <c r="A1041" s="55" t="s">
        <v>1193</v>
      </c>
      <c r="F1041" s="404">
        <f t="shared" ref="F1041:N1041" si="394">F1028-F1039</f>
        <v>251343603.51448917</v>
      </c>
      <c r="G1041" s="404">
        <f t="shared" si="394"/>
        <v>80977574.824529946</v>
      </c>
      <c r="H1041" s="404">
        <f t="shared" si="394"/>
        <v>41529757.304788828</v>
      </c>
      <c r="I1041" s="404">
        <f t="shared" si="394"/>
        <v>2184225.6956366152</v>
      </c>
      <c r="J1041" s="404">
        <f t="shared" si="394"/>
        <v>51612209.105382442</v>
      </c>
      <c r="K1041" s="404">
        <f t="shared" si="394"/>
        <v>9808297.9375108108</v>
      </c>
      <c r="L1041" s="404">
        <f t="shared" si="394"/>
        <v>5044235.2046990953</v>
      </c>
      <c r="M1041" s="404">
        <f t="shared" si="394"/>
        <v>35220330.894313216</v>
      </c>
      <c r="N1041" s="404">
        <f t="shared" si="394"/>
        <v>14158947.309014067</v>
      </c>
      <c r="O1041" s="404">
        <f>O1028-O1039</f>
        <v>3298156.1237085685</v>
      </c>
      <c r="P1041" s="404">
        <f>P1028-P1039</f>
        <v>7484626.7781831659</v>
      </c>
      <c r="Q1041" s="404">
        <f>Q1028-Q1039</f>
        <v>253.46679523285229</v>
      </c>
      <c r="R1041" s="404">
        <f>R1028-R1039</f>
        <v>24988.927372822902</v>
      </c>
      <c r="S1041" s="404"/>
      <c r="T1041" s="62">
        <f>ROUND(SUM(G1041:R1041),2)</f>
        <v>251343603.56999999</v>
      </c>
      <c r="U1041" s="61" t="str">
        <f>IF(ABS(F1041-T1041)&lt;0.01,"ok","err")</f>
        <v>err</v>
      </c>
    </row>
    <row r="1043" spans="1:21" ht="12" customHeight="1" x14ac:dyDescent="0.2">
      <c r="A1043" s="171" t="s">
        <v>512</v>
      </c>
      <c r="F1043" s="62">
        <f t="shared" ref="F1043:S1043" si="395">F860</f>
        <v>3310845269.9468822</v>
      </c>
      <c r="G1043" s="62">
        <f t="shared" si="395"/>
        <v>1472899750.7976735</v>
      </c>
      <c r="H1043" s="62">
        <f t="shared" si="395"/>
        <v>421150054.99246377</v>
      </c>
      <c r="I1043" s="62">
        <f t="shared" si="395"/>
        <v>25012957.629772507</v>
      </c>
      <c r="J1043" s="62">
        <f t="shared" si="395"/>
        <v>438086049.42700285</v>
      </c>
      <c r="K1043" s="62">
        <f t="shared" si="395"/>
        <v>97416904.009549558</v>
      </c>
      <c r="L1043" s="62">
        <f t="shared" si="395"/>
        <v>67123253.95440878</v>
      </c>
      <c r="M1043" s="62">
        <f t="shared" si="395"/>
        <v>472205604.45946503</v>
      </c>
      <c r="N1043" s="62">
        <f t="shared" si="395"/>
        <v>183744053.50925425</v>
      </c>
      <c r="O1043" s="62">
        <f t="shared" si="395"/>
        <v>54328625.752492771</v>
      </c>
      <c r="P1043" s="62">
        <f t="shared" si="395"/>
        <v>78597518.941739842</v>
      </c>
      <c r="Q1043" s="62">
        <f t="shared" si="395"/>
        <v>4843.7529165140977</v>
      </c>
      <c r="R1043" s="62">
        <f t="shared" si="395"/>
        <v>275652.7201442463</v>
      </c>
      <c r="S1043" s="62">
        <f t="shared" si="395"/>
        <v>0</v>
      </c>
      <c r="T1043" s="62">
        <f>ROUND(SUM(G1043:R1043),2)</f>
        <v>3310845269.9499998</v>
      </c>
      <c r="U1043" s="61" t="str">
        <f>IF(ABS(F1043-T1043)&lt;0.01,"ok","err")</f>
        <v>ok</v>
      </c>
    </row>
    <row r="1044" spans="1:21" ht="12" customHeight="1" thickBot="1" x14ac:dyDescent="0.25"/>
    <row r="1045" spans="1:21" ht="12" customHeight="1" thickBot="1" x14ac:dyDescent="0.25">
      <c r="A1045" s="434" t="s">
        <v>534</v>
      </c>
      <c r="B1045" s="435"/>
      <c r="C1045" s="435"/>
      <c r="D1045" s="435"/>
      <c r="E1045" s="435"/>
      <c r="F1045" s="436">
        <f t="shared" ref="F1045:N1045" si="396">F1041/F1043</f>
        <v>7.5915237053201703E-2</v>
      </c>
      <c r="G1045" s="436">
        <f t="shared" si="396"/>
        <v>5.4978334255725951E-2</v>
      </c>
      <c r="H1045" s="436">
        <f t="shared" si="396"/>
        <v>9.8610357074587054E-2</v>
      </c>
      <c r="I1045" s="436">
        <f t="shared" si="396"/>
        <v>8.7323767463499305E-2</v>
      </c>
      <c r="J1045" s="436">
        <f t="shared" si="396"/>
        <v>0.11781294833033128</v>
      </c>
      <c r="K1045" s="436">
        <f t="shared" si="396"/>
        <v>0.10068373694722761</v>
      </c>
      <c r="L1045" s="436">
        <f t="shared" si="396"/>
        <v>7.5148847940614188E-2</v>
      </c>
      <c r="M1045" s="436">
        <f t="shared" si="396"/>
        <v>7.4586854882059309E-2</v>
      </c>
      <c r="N1045" s="436">
        <f t="shared" si="396"/>
        <v>7.7057989298690163E-2</v>
      </c>
      <c r="O1045" s="436">
        <f>O1041/O1043</f>
        <v>6.0707519802435619E-2</v>
      </c>
      <c r="P1045" s="436">
        <f>P1041/P1043</f>
        <v>9.5227265172722841E-2</v>
      </c>
      <c r="Q1045" s="436">
        <f>Q1041/Q1043</f>
        <v>5.2328597185189347E-2</v>
      </c>
      <c r="R1045" s="436">
        <f>R1041/R1043</f>
        <v>9.0653657833474122E-2</v>
      </c>
      <c r="S1045" s="436"/>
      <c r="T1045" s="173"/>
      <c r="U1045" s="173"/>
    </row>
    <row r="1046" spans="1:21" ht="12" customHeight="1" x14ac:dyDescent="0.2">
      <c r="J1046" s="174"/>
      <c r="K1046" s="174"/>
      <c r="L1046" s="174"/>
      <c r="P1046" s="407">
        <f>SUM(P1041:R1041)/SUM(P1043:R1043)</f>
        <v>9.5208647591583248E-2</v>
      </c>
    </row>
    <row r="1047" spans="1:21" s="438" customFormat="1" ht="12" customHeight="1" x14ac:dyDescent="0.2">
      <c r="A1047" s="437" t="s">
        <v>2808</v>
      </c>
      <c r="Q1047" s="439"/>
    </row>
    <row r="1048" spans="1:21" ht="12" customHeight="1" x14ac:dyDescent="0.2">
      <c r="A1048" s="452"/>
      <c r="Q1048" s="407"/>
    </row>
    <row r="1049" spans="1:21" ht="12" customHeight="1" x14ac:dyDescent="0.2">
      <c r="A1049" s="50" t="s">
        <v>2354</v>
      </c>
    </row>
    <row r="1050" spans="1:21" s="438" customFormat="1" ht="12" hidden="1" customHeight="1" x14ac:dyDescent="0.2">
      <c r="A1050" s="453" t="s">
        <v>2809</v>
      </c>
      <c r="G1050" s="439"/>
      <c r="H1050" s="439"/>
      <c r="T1050" s="454"/>
    </row>
    <row r="1051" spans="1:21" s="438" customFormat="1" ht="12" hidden="1" customHeight="1" x14ac:dyDescent="0.2">
      <c r="A1051" s="453"/>
      <c r="D1051" s="455" t="s">
        <v>2810</v>
      </c>
      <c r="E1051" s="439">
        <v>3.4099999999999998E-2</v>
      </c>
      <c r="F1051" s="439"/>
      <c r="T1051" s="454"/>
    </row>
    <row r="1052" spans="1:21" s="438" customFormat="1" ht="12" hidden="1" customHeight="1" x14ac:dyDescent="0.2">
      <c r="D1052" s="455" t="s">
        <v>2811</v>
      </c>
      <c r="E1052" s="456">
        <v>0.1115</v>
      </c>
      <c r="F1052" s="456">
        <f>F1045+E1051</f>
        <v>0.11001523705320171</v>
      </c>
      <c r="G1052" s="457">
        <f>IF(G$1045&gt;$E1052,(($E$1052*G$1043-G$1041)/(1-$E$1037)-SUM(G$1025:G$1026)),0)</f>
        <v>0</v>
      </c>
      <c r="H1052" s="457">
        <f t="shared" ref="H1052:R1052" si="397">IF(H$1045&gt;$E1052,(($E$1052*H$1043-H$1041)/(1-$E$1037)-SUM(H$1025:H$1026)),0)</f>
        <v>0</v>
      </c>
      <c r="I1052" s="457">
        <f t="shared" si="397"/>
        <v>0</v>
      </c>
      <c r="J1052" s="457">
        <f t="shared" si="397"/>
        <v>-4374181.8410422169</v>
      </c>
      <c r="K1052" s="457">
        <f t="shared" si="397"/>
        <v>0</v>
      </c>
      <c r="L1052" s="457">
        <f t="shared" si="397"/>
        <v>0</v>
      </c>
      <c r="M1052" s="457">
        <f t="shared" si="397"/>
        <v>0</v>
      </c>
      <c r="N1052" s="457">
        <f t="shared" si="397"/>
        <v>0</v>
      </c>
      <c r="O1052" s="457">
        <f t="shared" si="397"/>
        <v>0</v>
      </c>
      <c r="P1052" s="457">
        <f t="shared" si="397"/>
        <v>0</v>
      </c>
      <c r="Q1052" s="457">
        <f t="shared" si="397"/>
        <v>0</v>
      </c>
      <c r="R1052" s="457">
        <f t="shared" si="397"/>
        <v>0</v>
      </c>
      <c r="T1052" s="454">
        <f>ROUND(SUM(G1052:S1052),2)</f>
        <v>-4374181.84</v>
      </c>
    </row>
    <row r="1053" spans="1:21" s="438" customFormat="1" ht="12" hidden="1" customHeight="1" x14ac:dyDescent="0.2">
      <c r="D1053" s="455" t="s">
        <v>2812</v>
      </c>
      <c r="E1053" s="456">
        <v>0</v>
      </c>
      <c r="F1053" s="456">
        <f>F1045-E1051</f>
        <v>4.1815237053201705E-2</v>
      </c>
      <c r="G1053" s="457">
        <f>IF(G$1045&lt;$E1053,(($E$1052*G$1043-G$1041)/(1-$E$1037)-SUM(G$1025:G$1026)),0)</f>
        <v>0</v>
      </c>
      <c r="H1053" s="457">
        <f t="shared" ref="H1053:R1053" si="398">IF(H$1045&lt;$E1053,(($E$1052*H$1043-H$1041)/(1-$E$1037)-SUM(H$1025:H$1026)),0)</f>
        <v>0</v>
      </c>
      <c r="I1053" s="457">
        <f t="shared" si="398"/>
        <v>0</v>
      </c>
      <c r="J1053" s="457">
        <f t="shared" si="398"/>
        <v>0</v>
      </c>
      <c r="K1053" s="457">
        <f t="shared" si="398"/>
        <v>0</v>
      </c>
      <c r="L1053" s="457">
        <f t="shared" si="398"/>
        <v>0</v>
      </c>
      <c r="M1053" s="457">
        <f t="shared" si="398"/>
        <v>0</v>
      </c>
      <c r="N1053" s="457">
        <f t="shared" si="398"/>
        <v>0</v>
      </c>
      <c r="O1053" s="457">
        <f t="shared" si="398"/>
        <v>0</v>
      </c>
      <c r="P1053" s="457">
        <f t="shared" si="398"/>
        <v>0</v>
      </c>
      <c r="Q1053" s="457">
        <f t="shared" si="398"/>
        <v>0</v>
      </c>
      <c r="R1053" s="457">
        <f t="shared" si="398"/>
        <v>0</v>
      </c>
      <c r="T1053" s="454">
        <f>ROUND(SUM(G1053:S1053),2)</f>
        <v>0</v>
      </c>
    </row>
    <row r="1054" spans="1:21" s="438" customFormat="1" ht="12" hidden="1" customHeight="1" x14ac:dyDescent="0.2">
      <c r="E1054" s="456"/>
      <c r="G1054" s="457">
        <f>IF(SUM(G1052:G1053)=0,G1069,0)</f>
        <v>474279916.49373692</v>
      </c>
      <c r="H1054" s="457">
        <f t="shared" ref="H1054:R1054" si="399">IF(SUM(H1052:H1053)=0,H1069,0)</f>
        <v>176800211.31819463</v>
      </c>
      <c r="I1054" s="457">
        <f t="shared" si="399"/>
        <v>11248698.759338377</v>
      </c>
      <c r="J1054" s="457">
        <f t="shared" si="399"/>
        <v>0</v>
      </c>
      <c r="K1054" s="457">
        <f t="shared" si="399"/>
        <v>46616189.603230596</v>
      </c>
      <c r="L1054" s="457">
        <f t="shared" si="399"/>
        <v>28338730.683599625</v>
      </c>
      <c r="M1054" s="457">
        <f t="shared" si="399"/>
        <v>207597875.87979716</v>
      </c>
      <c r="N1054" s="457">
        <f t="shared" si="399"/>
        <v>84511459.366422608</v>
      </c>
      <c r="O1054" s="457">
        <f t="shared" si="399"/>
        <v>14193700.252334129</v>
      </c>
      <c r="P1054" s="457">
        <f t="shared" si="399"/>
        <v>23195276.931937154</v>
      </c>
      <c r="Q1054" s="457">
        <f t="shared" si="399"/>
        <v>2284.581972753982</v>
      </c>
      <c r="R1054" s="457">
        <f t="shared" si="399"/>
        <v>118643.90252710316</v>
      </c>
      <c r="T1054" s="454">
        <f>ROUND(SUM(G1054:S1054),2)</f>
        <v>1066902987.77</v>
      </c>
    </row>
    <row r="1055" spans="1:21" s="438" customFormat="1" ht="12" hidden="1" customHeight="1" x14ac:dyDescent="0.2">
      <c r="D1055" s="458" t="s">
        <v>2813</v>
      </c>
      <c r="G1055" s="457">
        <f t="shared" ref="G1055:R1055" si="400">(G1054/$T$1054)*(-($T$1052+$T$1053))</f>
        <v>1944494.1307548892</v>
      </c>
      <c r="H1055" s="457">
        <f t="shared" si="400"/>
        <v>724860.91286767251</v>
      </c>
      <c r="I1055" s="457">
        <f t="shared" si="400"/>
        <v>46118.395393729734</v>
      </c>
      <c r="J1055" s="457">
        <f t="shared" si="400"/>
        <v>0</v>
      </c>
      <c r="K1055" s="457">
        <f t="shared" si="400"/>
        <v>191121.11630566165</v>
      </c>
      <c r="L1055" s="457">
        <f t="shared" si="400"/>
        <v>116185.59751524002</v>
      </c>
      <c r="M1055" s="457">
        <f t="shared" si="400"/>
        <v>851127.86176932347</v>
      </c>
      <c r="N1055" s="457">
        <f t="shared" si="400"/>
        <v>346487.44550352293</v>
      </c>
      <c r="O1055" s="457">
        <f t="shared" si="400"/>
        <v>58192.56914439128</v>
      </c>
      <c r="P1055" s="457">
        <f t="shared" si="400"/>
        <v>95098.017619689112</v>
      </c>
      <c r="Q1055" s="457">
        <f t="shared" si="400"/>
        <v>9.3665282521133442</v>
      </c>
      <c r="R1055" s="457">
        <f t="shared" si="400"/>
        <v>486.42661030082598</v>
      </c>
      <c r="T1055" s="454">
        <f>ROUND(SUM(G1055:S1055),2)</f>
        <v>4374181.84</v>
      </c>
      <c r="U1055" s="459" t="str">
        <f>IF((T1055+T1056)&lt;0.01,"ok","err")</f>
        <v>ok</v>
      </c>
    </row>
    <row r="1056" spans="1:21" s="438" customFormat="1" ht="12" hidden="1" customHeight="1" x14ac:dyDescent="0.2">
      <c r="E1056" s="456" t="s">
        <v>2814</v>
      </c>
      <c r="G1056" s="457">
        <f>G1055+G1053+G1052</f>
        <v>1944494.1307548892</v>
      </c>
      <c r="H1056" s="457">
        <f t="shared" ref="H1056:R1056" si="401">H1055+H1053+H1052</f>
        <v>724860.91286767251</v>
      </c>
      <c r="I1056" s="457">
        <f t="shared" si="401"/>
        <v>46118.395393729734</v>
      </c>
      <c r="J1056" s="457">
        <f t="shared" si="401"/>
        <v>-4374181.8410422169</v>
      </c>
      <c r="K1056" s="457">
        <f t="shared" si="401"/>
        <v>191121.11630566165</v>
      </c>
      <c r="L1056" s="457">
        <f t="shared" si="401"/>
        <v>116185.59751524002</v>
      </c>
      <c r="M1056" s="457">
        <f t="shared" si="401"/>
        <v>851127.86176932347</v>
      </c>
      <c r="N1056" s="457">
        <f t="shared" si="401"/>
        <v>346487.44550352293</v>
      </c>
      <c r="O1056" s="457">
        <f t="shared" si="401"/>
        <v>58192.56914439128</v>
      </c>
      <c r="P1056" s="457">
        <f t="shared" si="401"/>
        <v>95098.017619689112</v>
      </c>
      <c r="Q1056" s="457">
        <f t="shared" si="401"/>
        <v>9.3665282521133442</v>
      </c>
      <c r="R1056" s="457">
        <f t="shared" si="401"/>
        <v>486.42661030082598</v>
      </c>
      <c r="T1056" s="454">
        <f>T1052+T1053</f>
        <v>-4374181.84</v>
      </c>
      <c r="U1056" s="459"/>
    </row>
    <row r="1057" spans="1:22" s="438" customFormat="1" ht="12" hidden="1" customHeight="1" x14ac:dyDescent="0.2">
      <c r="A1057" s="460"/>
      <c r="B1057" s="460"/>
      <c r="C1057" s="460"/>
      <c r="D1057" s="460"/>
      <c r="E1057" s="461"/>
      <c r="F1057" s="460"/>
      <c r="G1057" s="462"/>
      <c r="H1057" s="462"/>
      <c r="I1057" s="462"/>
      <c r="J1057" s="462"/>
      <c r="K1057" s="462"/>
      <c r="L1057" s="462"/>
      <c r="M1057" s="462"/>
      <c r="N1057" s="462"/>
      <c r="O1057" s="462"/>
      <c r="P1057" s="462"/>
      <c r="Q1057" s="462"/>
      <c r="R1057" s="462"/>
      <c r="T1057" s="460"/>
      <c r="U1057" s="460"/>
    </row>
    <row r="1058" spans="1:22" s="438" customFormat="1" ht="12" hidden="1" customHeight="1" x14ac:dyDescent="0.2">
      <c r="E1058" s="463" t="s">
        <v>2815</v>
      </c>
      <c r="F1058" s="454">
        <f>SUM(G1058:R1058)</f>
        <v>81519691.808367997</v>
      </c>
      <c r="G1058" s="464">
        <f>G1056+G1024</f>
        <v>37345294.245799631</v>
      </c>
      <c r="H1058" s="464">
        <f t="shared" ref="H1058:R1058" si="402">H1056+H1024</f>
        <v>9053517.1052862983</v>
      </c>
      <c r="I1058" s="464">
        <f t="shared" si="402"/>
        <v>635201.65525921225</v>
      </c>
      <c r="J1058" s="464">
        <f t="shared" si="402"/>
        <v>4450904.5958093908</v>
      </c>
      <c r="K1058" s="464">
        <f t="shared" si="402"/>
        <v>2534314.3958842917</v>
      </c>
      <c r="L1058" s="464">
        <f t="shared" si="402"/>
        <v>1907067.7125525172</v>
      </c>
      <c r="M1058" s="464">
        <f t="shared" si="402"/>
        <v>12546428.400220621</v>
      </c>
      <c r="N1058" s="464">
        <f t="shared" si="402"/>
        <v>5137860.3187175952</v>
      </c>
      <c r="O1058" s="464">
        <f t="shared" si="402"/>
        <v>6636353.2169488762</v>
      </c>
      <c r="P1058" s="464">
        <f t="shared" si="402"/>
        <v>1266537.4806721588</v>
      </c>
      <c r="Q1058" s="464">
        <f t="shared" si="402"/>
        <v>169.66389475416665</v>
      </c>
      <c r="R1058" s="464">
        <f t="shared" si="402"/>
        <v>6043.017322625823</v>
      </c>
      <c r="T1058" s="454">
        <f>ROUND(SUM(G1058:S1058),2)</f>
        <v>81519691.810000002</v>
      </c>
      <c r="U1058" s="459" t="str">
        <f>IF((T1058-F1071)&lt;0.01,"ok","err")</f>
        <v>err</v>
      </c>
    </row>
    <row r="1059" spans="1:22" s="438" customFormat="1" ht="12" hidden="1" customHeight="1" x14ac:dyDescent="0.2">
      <c r="F1059" s="463"/>
      <c r="G1059" s="463"/>
      <c r="H1059" s="464"/>
    </row>
    <row r="1060" spans="1:22" s="438" customFormat="1" ht="12" hidden="1" customHeight="1" x14ac:dyDescent="0.2">
      <c r="E1060" s="455" t="s">
        <v>2816</v>
      </c>
      <c r="F1060" s="465">
        <f>F1024</f>
        <v>81519691.809397504</v>
      </c>
      <c r="G1060" s="465">
        <f t="shared" ref="G1060:R1060" si="403">G1024</f>
        <v>35400800.115044743</v>
      </c>
      <c r="H1060" s="465">
        <f t="shared" si="403"/>
        <v>8328656.1924186256</v>
      </c>
      <c r="I1060" s="465">
        <f t="shared" si="403"/>
        <v>589083.25986548257</v>
      </c>
      <c r="J1060" s="465">
        <f t="shared" si="403"/>
        <v>8825086.4368516076</v>
      </c>
      <c r="K1060" s="465">
        <f t="shared" si="403"/>
        <v>2343193.2795786299</v>
      </c>
      <c r="L1060" s="465">
        <f t="shared" si="403"/>
        <v>1790882.1150372771</v>
      </c>
      <c r="M1060" s="465">
        <f t="shared" si="403"/>
        <v>11695300.538451297</v>
      </c>
      <c r="N1060" s="465">
        <f t="shared" si="403"/>
        <v>4791372.8732140725</v>
      </c>
      <c r="O1060" s="465">
        <f t="shared" si="403"/>
        <v>6578160.6478044847</v>
      </c>
      <c r="P1060" s="465">
        <f t="shared" si="403"/>
        <v>1171439.4630524695</v>
      </c>
      <c r="Q1060" s="465">
        <f t="shared" si="403"/>
        <v>160.29736650205331</v>
      </c>
      <c r="R1060" s="465">
        <f t="shared" si="403"/>
        <v>5556.5907123249972</v>
      </c>
    </row>
    <row r="1061" spans="1:22" s="438" customFormat="1" ht="12" hidden="1" customHeight="1" x14ac:dyDescent="0.2">
      <c r="E1061" s="455"/>
      <c r="F1061" s="465"/>
      <c r="G1061" s="463"/>
      <c r="H1061" s="465"/>
    </row>
    <row r="1062" spans="1:22" s="438" customFormat="1" ht="12" hidden="1" customHeight="1" x14ac:dyDescent="0.2">
      <c r="F1062" s="465"/>
      <c r="G1062" s="463"/>
      <c r="H1062" s="465"/>
    </row>
    <row r="1063" spans="1:22" ht="12" hidden="1" customHeight="1" x14ac:dyDescent="0.2">
      <c r="A1063" s="50"/>
    </row>
    <row r="1064" spans="1:22" ht="12" hidden="1" customHeight="1" x14ac:dyDescent="0.2">
      <c r="A1064" s="50"/>
    </row>
    <row r="1065" spans="1:22" ht="12" hidden="1" customHeight="1" x14ac:dyDescent="0.2">
      <c r="B1065" s="171"/>
    </row>
    <row r="1067" spans="1:22" ht="12" customHeight="1" x14ac:dyDescent="0.2">
      <c r="A1067" s="171" t="s">
        <v>239</v>
      </c>
    </row>
    <row r="1069" spans="1:22" ht="12" customHeight="1" x14ac:dyDescent="0.2">
      <c r="A1069" s="55" t="s">
        <v>1427</v>
      </c>
      <c r="F1069" s="62">
        <f>F1022</f>
        <v>1287696535.6966815</v>
      </c>
      <c r="G1069" s="62">
        <f t="shared" ref="G1069:R1069" si="404">G1022</f>
        <v>474279916.49373692</v>
      </c>
      <c r="H1069" s="62">
        <f t="shared" si="404"/>
        <v>176800211.31819463</v>
      </c>
      <c r="I1069" s="62">
        <f t="shared" si="404"/>
        <v>11248698.759338377</v>
      </c>
      <c r="J1069" s="62">
        <f t="shared" si="404"/>
        <v>220793548.12142894</v>
      </c>
      <c r="K1069" s="62">
        <f t="shared" si="404"/>
        <v>46616189.603230596</v>
      </c>
      <c r="L1069" s="62">
        <f t="shared" si="404"/>
        <v>28338730.683599625</v>
      </c>
      <c r="M1069" s="62">
        <f t="shared" si="404"/>
        <v>207597875.87979716</v>
      </c>
      <c r="N1069" s="62">
        <f t="shared" si="404"/>
        <v>84511459.366422608</v>
      </c>
      <c r="O1069" s="62">
        <f t="shared" si="404"/>
        <v>14193700.252334129</v>
      </c>
      <c r="P1069" s="62">
        <f t="shared" si="404"/>
        <v>23195276.931937154</v>
      </c>
      <c r="Q1069" s="62">
        <f t="shared" si="404"/>
        <v>2284.581972753982</v>
      </c>
      <c r="R1069" s="62">
        <f t="shared" si="404"/>
        <v>118643.90252710316</v>
      </c>
      <c r="S1069" s="62">
        <f>S841</f>
        <v>0</v>
      </c>
      <c r="T1069" s="62">
        <f>ROUND(SUM(G1069:R1069),2)</f>
        <v>1287696535.8900001</v>
      </c>
      <c r="U1069" s="61" t="str">
        <f>IF(ABS(F1069-T1069)&lt;0.01,"ok","err")</f>
        <v>err</v>
      </c>
      <c r="V1069" s="504">
        <f>IF(U1069="ok","",F1069-T1069)</f>
        <v>-0.19331860542297363</v>
      </c>
    </row>
    <row r="1070" spans="1:22" ht="12" customHeight="1" x14ac:dyDescent="0.2">
      <c r="F1070" s="62"/>
      <c r="G1070" s="62"/>
      <c r="H1070" s="62"/>
      <c r="I1070" s="62"/>
      <c r="J1070" s="62"/>
      <c r="K1070" s="62"/>
      <c r="L1070" s="62"/>
      <c r="M1070" s="62"/>
      <c r="N1070" s="62"/>
      <c r="O1070" s="62"/>
      <c r="P1070" s="62"/>
      <c r="Q1070" s="62"/>
      <c r="R1070" s="62"/>
      <c r="S1070" s="62"/>
      <c r="T1070" s="62"/>
      <c r="U1070" s="61"/>
    </row>
    <row r="1071" spans="1:22" ht="12" customHeight="1" x14ac:dyDescent="0.2">
      <c r="A1071" s="55" t="s">
        <v>1178</v>
      </c>
      <c r="E1071" s="447"/>
      <c r="F1071" s="62">
        <v>81503750.74687326</v>
      </c>
      <c r="G1071" s="404">
        <v>37381885.841107011</v>
      </c>
      <c r="H1071" s="404">
        <v>9061201.4791007042</v>
      </c>
      <c r="I1071" s="404">
        <v>635466.80733232573</v>
      </c>
      <c r="J1071" s="404">
        <v>4381192.1713476181</v>
      </c>
      <c r="K1071" s="404">
        <v>2537094.9491237327</v>
      </c>
      <c r="L1071" s="404">
        <v>1907197.955484651</v>
      </c>
      <c r="M1071" s="404">
        <v>12564145.245811034</v>
      </c>
      <c r="N1071" s="404">
        <v>5128397.8211731017</v>
      </c>
      <c r="O1071" s="404">
        <v>6632879.940000006</v>
      </c>
      <c r="P1071" s="404">
        <v>1267776.4692554139</v>
      </c>
      <c r="Q1071" s="404">
        <v>124</v>
      </c>
      <c r="R1071" s="404">
        <v>6388.0671376611572</v>
      </c>
      <c r="S1071" s="447"/>
      <c r="T1071" s="62">
        <f>SUM(G1071:R1071)</f>
        <v>81503750.74687326</v>
      </c>
      <c r="U1071" s="61" t="str">
        <f>IF(ABS(F1071-T1071)&lt;0.01,"ok","err")</f>
        <v>ok</v>
      </c>
      <c r="V1071" s="504" t="str">
        <f t="shared" ref="V1071:V1073" si="405">IF(U1071="ok","",F1071-T1071)</f>
        <v/>
      </c>
    </row>
    <row r="1072" spans="1:22" ht="12" customHeight="1" x14ac:dyDescent="0.2">
      <c r="A1072" s="55" t="s">
        <v>1192</v>
      </c>
      <c r="E1072" s="447" t="s">
        <v>2731</v>
      </c>
      <c r="F1072" s="404">
        <f>F1025</f>
        <v>929141</v>
      </c>
      <c r="G1072" s="404">
        <f t="shared" ref="G1072:R1072" si="406">IF(VLOOKUP($E1072,$D$5:$AH$1244,3,)=0,0,(VLOOKUP($E1072,$D$5:$AH$1244,G$1,)/VLOOKUP($E1072,$D$5:$AH$1244,3,))*$F1072)</f>
        <v>842853.28971216839</v>
      </c>
      <c r="H1072" s="404">
        <f t="shared" si="406"/>
        <v>29971.532955749117</v>
      </c>
      <c r="I1072" s="404">
        <f t="shared" si="406"/>
        <v>370.55179102301508</v>
      </c>
      <c r="J1072" s="404">
        <f t="shared" si="406"/>
        <v>1855.2932875402983</v>
      </c>
      <c r="K1072" s="404">
        <f t="shared" si="406"/>
        <v>35379.63799116914</v>
      </c>
      <c r="L1072" s="404">
        <f t="shared" si="406"/>
        <v>1461.9527935470662</v>
      </c>
      <c r="M1072" s="404">
        <f t="shared" si="406"/>
        <v>55.165692940408995</v>
      </c>
      <c r="N1072" s="404">
        <f t="shared" si="406"/>
        <v>0</v>
      </c>
      <c r="O1072" s="404">
        <f t="shared" si="406"/>
        <v>70.174103599754247</v>
      </c>
      <c r="P1072" s="404">
        <f t="shared" si="406"/>
        <v>17123.403283336156</v>
      </c>
      <c r="Q1072" s="404">
        <f t="shared" si="406"/>
        <v>0</v>
      </c>
      <c r="R1072" s="404">
        <f t="shared" si="406"/>
        <v>0</v>
      </c>
      <c r="S1072" s="404"/>
      <c r="T1072" s="62">
        <f>SUM(G1072:R1072)</f>
        <v>929141.00161107327</v>
      </c>
      <c r="U1072" s="61" t="str">
        <f>IF(ABS(F1072-T1072)&lt;0.01,"ok","err")</f>
        <v>ok</v>
      </c>
      <c r="V1072" s="504" t="str">
        <f t="shared" si="405"/>
        <v/>
      </c>
    </row>
    <row r="1073" spans="1:22" ht="12" customHeight="1" x14ac:dyDescent="0.2">
      <c r="E1073" s="447"/>
      <c r="F1073" s="404"/>
      <c r="G1073" s="404">
        <v>0</v>
      </c>
      <c r="H1073" s="404">
        <v>0</v>
      </c>
      <c r="I1073" s="404">
        <v>0</v>
      </c>
      <c r="J1073" s="404">
        <v>0</v>
      </c>
      <c r="K1073" s="404">
        <v>0</v>
      </c>
      <c r="L1073" s="404">
        <v>0</v>
      </c>
      <c r="M1073" s="404">
        <v>0</v>
      </c>
      <c r="N1073" s="404">
        <v>0</v>
      </c>
      <c r="O1073" s="404">
        <v>0</v>
      </c>
      <c r="P1073" s="404">
        <v>0</v>
      </c>
      <c r="Q1073" s="404">
        <v>0</v>
      </c>
      <c r="R1073" s="404">
        <v>0</v>
      </c>
      <c r="S1073" s="404">
        <v>0</v>
      </c>
      <c r="T1073" s="62">
        <f>SUM(G1073:R1073)</f>
        <v>0</v>
      </c>
      <c r="U1073" s="61" t="str">
        <f>IF(ABS(F1073-T1073)&lt;0.01,"ok","err")</f>
        <v>ok</v>
      </c>
      <c r="V1073" s="504" t="str">
        <f t="shared" si="405"/>
        <v/>
      </c>
    </row>
    <row r="1074" spans="1:22" ht="12" customHeight="1" x14ac:dyDescent="0.2">
      <c r="E1074" s="447"/>
      <c r="F1074" s="404"/>
      <c r="G1074" s="404"/>
      <c r="H1074" s="447"/>
      <c r="I1074" s="447"/>
      <c r="J1074" s="447"/>
      <c r="K1074" s="447"/>
      <c r="L1074" s="447"/>
      <c r="M1074" s="447"/>
      <c r="N1074" s="447"/>
      <c r="O1074" s="447"/>
      <c r="P1074" s="447"/>
      <c r="Q1074" s="447"/>
      <c r="R1074" s="447"/>
      <c r="S1074" s="447"/>
      <c r="T1074" s="62"/>
      <c r="U1074" s="61"/>
    </row>
    <row r="1075" spans="1:22" ht="12" customHeight="1" x14ac:dyDescent="0.2">
      <c r="A1075" s="55" t="s">
        <v>616</v>
      </c>
      <c r="E1075" s="447"/>
      <c r="F1075" s="404">
        <f>SUM(F1069:F1074)</f>
        <v>1370129427.4435549</v>
      </c>
      <c r="G1075" s="404">
        <f t="shared" ref="G1075:R1075" si="407">SUM(G1069:G1074)</f>
        <v>512504655.62455612</v>
      </c>
      <c r="H1075" s="404">
        <f t="shared" si="407"/>
        <v>185891384.33025107</v>
      </c>
      <c r="I1075" s="404">
        <f t="shared" si="407"/>
        <v>11884536.118461726</v>
      </c>
      <c r="J1075" s="404">
        <f t="shared" si="407"/>
        <v>225176595.5860641</v>
      </c>
      <c r="K1075" s="404">
        <f t="shared" si="407"/>
        <v>49188664.190345496</v>
      </c>
      <c r="L1075" s="404">
        <f t="shared" si="407"/>
        <v>30247390.591877822</v>
      </c>
      <c r="M1075" s="404">
        <f t="shared" si="407"/>
        <v>220162076.29130116</v>
      </c>
      <c r="N1075" s="404">
        <f t="shared" si="407"/>
        <v>89639857.18759571</v>
      </c>
      <c r="O1075" s="404">
        <f t="shared" si="407"/>
        <v>20826650.366437733</v>
      </c>
      <c r="P1075" s="404">
        <f t="shared" si="407"/>
        <v>24480176.804475904</v>
      </c>
      <c r="Q1075" s="404">
        <f t="shared" si="407"/>
        <v>2408.581972753982</v>
      </c>
      <c r="R1075" s="404">
        <f t="shared" si="407"/>
        <v>125031.96966476431</v>
      </c>
      <c r="S1075" s="404"/>
      <c r="T1075" s="404">
        <f>SUM(T1069:T1074)</f>
        <v>1370129427.6384842</v>
      </c>
      <c r="U1075" s="61" t="str">
        <f>IF(ABS(F1075-T1075)&lt;0.01,"ok","err")</f>
        <v>err</v>
      </c>
      <c r="V1075" s="504">
        <f>IF(U1075="ok","",F1075-T1075)</f>
        <v>-0.19492936134338379</v>
      </c>
    </row>
    <row r="1076" spans="1:22" ht="12" customHeight="1" x14ac:dyDescent="0.2">
      <c r="A1076" s="171"/>
      <c r="E1076" s="447"/>
      <c r="F1076" s="404"/>
      <c r="G1076" s="404"/>
      <c r="H1076" s="404"/>
      <c r="I1076" s="404"/>
      <c r="J1076" s="404"/>
      <c r="K1076" s="404"/>
      <c r="L1076" s="404"/>
      <c r="M1076" s="404"/>
      <c r="N1076" s="404"/>
      <c r="O1076" s="404"/>
      <c r="P1076" s="404"/>
      <c r="Q1076" s="404"/>
      <c r="R1076" s="404"/>
      <c r="S1076" s="404"/>
      <c r="T1076" s="62"/>
      <c r="U1076" s="61"/>
    </row>
    <row r="1077" spans="1:22" ht="12" customHeight="1" x14ac:dyDescent="0.2">
      <c r="A1077" s="171"/>
      <c r="E1077" s="447"/>
      <c r="F1077" s="404"/>
      <c r="G1077" s="404"/>
      <c r="H1077" s="404"/>
      <c r="I1077" s="404"/>
      <c r="J1077" s="404"/>
      <c r="K1077" s="404"/>
      <c r="L1077" s="404"/>
      <c r="M1077" s="404"/>
      <c r="N1077" s="404"/>
      <c r="O1077" s="404"/>
      <c r="P1077" s="404"/>
      <c r="Q1077" s="404"/>
      <c r="R1077" s="404"/>
      <c r="S1077" s="404"/>
      <c r="T1077" s="62"/>
      <c r="U1077" s="61"/>
    </row>
    <row r="1078" spans="1:22" ht="12" customHeight="1" x14ac:dyDescent="0.2">
      <c r="A1078" s="171" t="s">
        <v>528</v>
      </c>
      <c r="E1078" s="447"/>
      <c r="F1078" s="404"/>
      <c r="G1078" s="404"/>
      <c r="H1078" s="404"/>
      <c r="I1078" s="404"/>
      <c r="J1078" s="404"/>
      <c r="K1078" s="404"/>
      <c r="L1078" s="404"/>
      <c r="M1078" s="404"/>
      <c r="N1078" s="404"/>
      <c r="O1078" s="404"/>
      <c r="P1078" s="404"/>
      <c r="Q1078" s="404"/>
      <c r="R1078" s="404"/>
      <c r="S1078" s="404"/>
      <c r="T1078" s="62"/>
      <c r="U1078" s="61"/>
    </row>
    <row r="1079" spans="1:22" ht="12" customHeight="1" x14ac:dyDescent="0.2">
      <c r="A1079" s="171"/>
      <c r="E1079" s="447"/>
      <c r="F1079" s="404"/>
      <c r="G1079" s="404"/>
      <c r="H1079" s="404"/>
      <c r="I1079" s="404"/>
      <c r="J1079" s="404"/>
      <c r="K1079" s="404"/>
      <c r="L1079" s="404"/>
      <c r="M1079" s="404"/>
      <c r="N1079" s="404"/>
      <c r="O1079" s="404"/>
      <c r="P1079" s="404"/>
      <c r="Q1079" s="404"/>
      <c r="R1079" s="404"/>
      <c r="S1079" s="404"/>
      <c r="T1079" s="62"/>
      <c r="U1079" s="61"/>
    </row>
    <row r="1080" spans="1:22" ht="12" customHeight="1" x14ac:dyDescent="0.2">
      <c r="A1080" s="55" t="s">
        <v>533</v>
      </c>
      <c r="E1080" s="447"/>
      <c r="F1080" s="404">
        <f>F1033</f>
        <v>1139327996.0526221</v>
      </c>
      <c r="G1080" s="404">
        <f t="shared" ref="G1080:R1080" si="408">G1033</f>
        <v>438620356.21121198</v>
      </c>
      <c r="H1080" s="404">
        <f t="shared" si="408"/>
        <v>148958743.3582623</v>
      </c>
      <c r="I1080" s="404">
        <f t="shared" si="408"/>
        <v>9693812.9110342525</v>
      </c>
      <c r="J1080" s="404">
        <f t="shared" si="408"/>
        <v>182310158.39716402</v>
      </c>
      <c r="K1080" s="404">
        <f t="shared" si="408"/>
        <v>41562166.675834559</v>
      </c>
      <c r="L1080" s="404">
        <f t="shared" si="408"/>
        <v>24110323.30436134</v>
      </c>
      <c r="M1080" s="404">
        <f t="shared" si="408"/>
        <v>184790299.27456602</v>
      </c>
      <c r="N1080" s="404">
        <f t="shared" si="408"/>
        <v>76379577.876800492</v>
      </c>
      <c r="O1080" s="404">
        <f t="shared" si="408"/>
        <v>16035121.993293857</v>
      </c>
      <c r="P1080" s="404">
        <f t="shared" si="408"/>
        <v>16773979.210321018</v>
      </c>
      <c r="Q1080" s="404">
        <f t="shared" si="408"/>
        <v>2178.9084789475401</v>
      </c>
      <c r="R1080" s="404">
        <f t="shared" si="408"/>
        <v>91277.932880806533</v>
      </c>
      <c r="S1080" s="404">
        <f>S714</f>
        <v>0</v>
      </c>
      <c r="T1080" s="62">
        <f>ROUND(SUM(G1080:R1080),2)</f>
        <v>1139327996.05</v>
      </c>
      <c r="U1080" s="448" t="str">
        <f>IF(ABS(F1080-T1080)&lt;0.01,"ok","err")</f>
        <v>ok</v>
      </c>
      <c r="V1080" s="504" t="str">
        <f>IF(U1080="ok","",F1080-T1080)</f>
        <v/>
      </c>
    </row>
    <row r="1081" spans="1:22" ht="12" customHeight="1" x14ac:dyDescent="0.2">
      <c r="E1081" s="447"/>
      <c r="F1081" s="404"/>
      <c r="G1081" s="404"/>
      <c r="H1081" s="404"/>
      <c r="I1081" s="404"/>
      <c r="J1081" s="404"/>
      <c r="K1081" s="404"/>
      <c r="L1081" s="404"/>
      <c r="M1081" s="404"/>
      <c r="N1081" s="404"/>
      <c r="O1081" s="404"/>
      <c r="P1081" s="404"/>
      <c r="Q1081" s="404"/>
      <c r="R1081" s="404"/>
      <c r="S1081" s="404"/>
      <c r="T1081" s="62"/>
      <c r="U1081" s="448"/>
    </row>
    <row r="1082" spans="1:22" ht="12" customHeight="1" x14ac:dyDescent="0.2">
      <c r="A1082" s="55" t="s">
        <v>240</v>
      </c>
      <c r="E1082" s="447"/>
      <c r="F1082" s="404">
        <f>F1035</f>
        <v>-50823951</v>
      </c>
      <c r="G1082" s="404">
        <f t="shared" ref="G1082:R1082" si="409">G1035</f>
        <v>-22392925.18485428</v>
      </c>
      <c r="H1082" s="404">
        <f t="shared" si="409"/>
        <v>-8401231.6256086137</v>
      </c>
      <c r="I1082" s="404">
        <f t="shared" si="409"/>
        <v>-256494.39620683555</v>
      </c>
      <c r="J1082" s="404">
        <f t="shared" si="409"/>
        <v>-7545540.4093777863</v>
      </c>
      <c r="K1082" s="404">
        <f t="shared" si="409"/>
        <v>-3249763.4182831082</v>
      </c>
      <c r="L1082" s="404">
        <f t="shared" si="409"/>
        <v>317878.19073201547</v>
      </c>
      <c r="M1082" s="404">
        <f t="shared" si="409"/>
        <v>-5015126.031606812</v>
      </c>
      <c r="N1082" s="404">
        <f t="shared" si="409"/>
        <v>-2996393.1100164759</v>
      </c>
      <c r="O1082" s="404">
        <f t="shared" si="409"/>
        <v>-978669.25757924293</v>
      </c>
      <c r="P1082" s="404">
        <f t="shared" si="409"/>
        <v>-311530.95241224236</v>
      </c>
      <c r="Q1082" s="404">
        <f t="shared" si="409"/>
        <v>-46.400889084966188</v>
      </c>
      <c r="R1082" s="404">
        <f t="shared" si="409"/>
        <v>5891.7359269685076</v>
      </c>
      <c r="S1082" s="404">
        <f>S880</f>
        <v>0</v>
      </c>
      <c r="T1082" s="62">
        <f>ROUND(SUM(G1082:R1082),2)</f>
        <v>-50823950.859999999</v>
      </c>
      <c r="U1082" s="448" t="str">
        <f>IF(ABS(F1082-T1082)&lt;0.01,"ok","err")</f>
        <v>err</v>
      </c>
      <c r="V1082" s="504">
        <f>IF(U1082="ok","",F1082-T1082)</f>
        <v>-0.14000000059604645</v>
      </c>
    </row>
    <row r="1084" spans="1:22" ht="12" customHeight="1" x14ac:dyDescent="0.2">
      <c r="A1084" s="55" t="s">
        <v>1195</v>
      </c>
      <c r="E1084" s="55">
        <f>E996</f>
        <v>0.36747299999999999</v>
      </c>
      <c r="F1084" s="404">
        <f>SUM(F1071:F1073)*$E$1084</f>
        <v>30291862.028898757</v>
      </c>
      <c r="G1084" s="404">
        <f t="shared" ref="G1084:R1084" si="410">SUM(G1071:G1073)*$E$1084</f>
        <v>14046559.562619517</v>
      </c>
      <c r="H1084" s="404">
        <f t="shared" si="410"/>
        <v>3340760.6202594209</v>
      </c>
      <c r="I1084" s="404">
        <f t="shared" si="410"/>
        <v>233653.06186913431</v>
      </c>
      <c r="J1084" s="404">
        <f t="shared" si="410"/>
        <v>1610651.6009718755</v>
      </c>
      <c r="K1084" s="404">
        <f t="shared" si="410"/>
        <v>945314.95395087427</v>
      </c>
      <c r="L1084" s="404">
        <f t="shared" si="410"/>
        <v>701380.98247471428</v>
      </c>
      <c r="M1084" s="404">
        <f t="shared" si="410"/>
        <v>4617004.4178165998</v>
      </c>
      <c r="N1084" s="404">
        <f t="shared" si="410"/>
        <v>1884547.7325399432</v>
      </c>
      <c r="O1084" s="404">
        <f t="shared" si="410"/>
        <v>2437430.0772799943</v>
      </c>
      <c r="P1084" s="404">
        <f t="shared" si="410"/>
        <v>472166.01086143212</v>
      </c>
      <c r="Q1084" s="404">
        <f t="shared" si="410"/>
        <v>45.566651999999998</v>
      </c>
      <c r="R1084" s="404">
        <f t="shared" si="410"/>
        <v>2347.4421952777584</v>
      </c>
      <c r="S1084" s="404">
        <f>SUM(S1071:S1073)*0.367473</f>
        <v>0</v>
      </c>
      <c r="T1084" s="62">
        <f>ROUND(SUM(G1084:R1084),2)</f>
        <v>30291862.030000001</v>
      </c>
      <c r="U1084" s="448" t="str">
        <f>IF(ABS(F1084-T1084)&lt;0.01,"ok","err")</f>
        <v>ok</v>
      </c>
      <c r="V1084" s="504" t="str">
        <f>IF(U1084="ok","",F1084-T1084)</f>
        <v/>
      </c>
    </row>
    <row r="1085" spans="1:22" ht="12" customHeight="1" x14ac:dyDescent="0.2">
      <c r="F1085" s="404"/>
      <c r="G1085" s="404"/>
      <c r="H1085" s="404"/>
      <c r="I1085" s="404"/>
      <c r="J1085" s="404"/>
      <c r="K1085" s="404"/>
      <c r="L1085" s="404"/>
      <c r="M1085" s="404"/>
      <c r="N1085" s="404"/>
      <c r="O1085" s="404"/>
      <c r="P1085" s="404"/>
      <c r="Q1085" s="404"/>
      <c r="R1085" s="404"/>
      <c r="S1085" s="404"/>
      <c r="T1085" s="62"/>
      <c r="U1085" s="448"/>
    </row>
    <row r="1086" spans="1:22" ht="12" customHeight="1" x14ac:dyDescent="0.2">
      <c r="A1086" s="55" t="s">
        <v>241</v>
      </c>
      <c r="F1086" s="404">
        <f>F1080+F1082+F1084</f>
        <v>1118795907.0815208</v>
      </c>
      <c r="G1086" s="404">
        <f t="shared" ref="G1086:R1086" si="411">G1080+G1082+G1084</f>
        <v>430273990.58897722</v>
      </c>
      <c r="H1086" s="404">
        <f t="shared" si="411"/>
        <v>143898272.35291311</v>
      </c>
      <c r="I1086" s="404">
        <f t="shared" si="411"/>
        <v>9670971.5766965523</v>
      </c>
      <c r="J1086" s="404">
        <f t="shared" si="411"/>
        <v>176375269.58875811</v>
      </c>
      <c r="K1086" s="404">
        <f t="shared" si="411"/>
        <v>39257718.211502329</v>
      </c>
      <c r="L1086" s="404">
        <f t="shared" si="411"/>
        <v>25129582.477568071</v>
      </c>
      <c r="M1086" s="404">
        <f t="shared" si="411"/>
        <v>184392177.66077581</v>
      </c>
      <c r="N1086" s="404">
        <f t="shared" si="411"/>
        <v>75267732.499323949</v>
      </c>
      <c r="O1086" s="404">
        <f t="shared" si="411"/>
        <v>17493882.812994607</v>
      </c>
      <c r="P1086" s="404">
        <f t="shared" si="411"/>
        <v>16934614.268770207</v>
      </c>
      <c r="Q1086" s="404">
        <f t="shared" si="411"/>
        <v>2178.0742418625737</v>
      </c>
      <c r="R1086" s="404">
        <f t="shared" si="411"/>
        <v>99517.111003052807</v>
      </c>
      <c r="S1086" s="404"/>
      <c r="T1086" s="62">
        <f>ROUND(SUM(G1086:R1086),2)</f>
        <v>1118795907.22</v>
      </c>
      <c r="U1086" s="448" t="str">
        <f>IF(ABS(F1086-T1086)&lt;0.01,"ok","err")</f>
        <v>err</v>
      </c>
      <c r="V1086" s="504">
        <f>IF(U1086="ok","",F1086-T1086)</f>
        <v>-0.13847923278808594</v>
      </c>
    </row>
    <row r="1087" spans="1:22" ht="12" customHeight="1" x14ac:dyDescent="0.2">
      <c r="E1087" s="62"/>
    </row>
    <row r="1088" spans="1:22" ht="12" customHeight="1" x14ac:dyDescent="0.2">
      <c r="A1088" s="55" t="s">
        <v>1193</v>
      </c>
      <c r="F1088" s="404">
        <f>F1075-F1086</f>
        <v>251333520.36203408</v>
      </c>
      <c r="G1088" s="404">
        <f t="shared" ref="G1088:R1088" si="412">G1075-G1086</f>
        <v>82230665.035578907</v>
      </c>
      <c r="H1088" s="404">
        <f t="shared" si="412"/>
        <v>41993111.977337956</v>
      </c>
      <c r="I1088" s="404">
        <f t="shared" si="412"/>
        <v>2213564.5417651739</v>
      </c>
      <c r="J1088" s="404">
        <f t="shared" si="412"/>
        <v>48801325.997305989</v>
      </c>
      <c r="K1088" s="404">
        <f t="shared" si="412"/>
        <v>9930945.9788431674</v>
      </c>
      <c r="L1088" s="404">
        <f t="shared" si="412"/>
        <v>5117808.1143097505</v>
      </c>
      <c r="M1088" s="404">
        <f t="shared" si="412"/>
        <v>35769898.630525351</v>
      </c>
      <c r="N1088" s="404">
        <f t="shared" si="412"/>
        <v>14372124.688271761</v>
      </c>
      <c r="O1088" s="404">
        <f t="shared" si="412"/>
        <v>3332767.5534431264</v>
      </c>
      <c r="P1088" s="404">
        <f t="shared" si="412"/>
        <v>7545562.5357056968</v>
      </c>
      <c r="Q1088" s="404">
        <f t="shared" si="412"/>
        <v>230.5077308914083</v>
      </c>
      <c r="R1088" s="404">
        <f t="shared" si="412"/>
        <v>25514.858661711507</v>
      </c>
      <c r="S1088" s="404"/>
      <c r="T1088" s="62">
        <f>ROUND(SUM(G1088:R1088),2)</f>
        <v>251333520.41999999</v>
      </c>
      <c r="U1088" s="61" t="str">
        <f>IF(ABS(F1088-T1088)&lt;0.01,"ok","err")</f>
        <v>err</v>
      </c>
      <c r="V1088" s="504">
        <f>IF(U1088="ok","",F1088-T1088)</f>
        <v>-5.7965904474258423E-2</v>
      </c>
    </row>
    <row r="1090" spans="1:22" ht="12" customHeight="1" x14ac:dyDescent="0.2">
      <c r="A1090" s="171" t="s">
        <v>512</v>
      </c>
      <c r="F1090" s="62">
        <f>F1043</f>
        <v>3310845269.9468822</v>
      </c>
      <c r="G1090" s="62">
        <f t="shared" ref="G1090:R1090" si="413">G1043</f>
        <v>1472899750.7976735</v>
      </c>
      <c r="H1090" s="62">
        <f t="shared" si="413"/>
        <v>421150054.99246377</v>
      </c>
      <c r="I1090" s="62">
        <f t="shared" si="413"/>
        <v>25012957.629772507</v>
      </c>
      <c r="J1090" s="62">
        <f t="shared" si="413"/>
        <v>438086049.42700285</v>
      </c>
      <c r="K1090" s="62">
        <f t="shared" si="413"/>
        <v>97416904.009549558</v>
      </c>
      <c r="L1090" s="62">
        <f t="shared" si="413"/>
        <v>67123253.95440878</v>
      </c>
      <c r="M1090" s="62">
        <f t="shared" si="413"/>
        <v>472205604.45946503</v>
      </c>
      <c r="N1090" s="62">
        <f t="shared" si="413"/>
        <v>183744053.50925425</v>
      </c>
      <c r="O1090" s="62">
        <f t="shared" si="413"/>
        <v>54328625.752492771</v>
      </c>
      <c r="P1090" s="62">
        <f t="shared" si="413"/>
        <v>78597518.941739842</v>
      </c>
      <c r="Q1090" s="62">
        <f t="shared" si="413"/>
        <v>4843.7529165140977</v>
      </c>
      <c r="R1090" s="62">
        <f t="shared" si="413"/>
        <v>275652.7201442463</v>
      </c>
      <c r="S1090" s="62">
        <f>S892</f>
        <v>0</v>
      </c>
      <c r="T1090" s="62">
        <f>ROUND(SUM(G1090:R1090),2)</f>
        <v>3310845269.9499998</v>
      </c>
      <c r="U1090" s="61" t="str">
        <f>IF(ABS(F1090-T1090)&lt;0.01,"ok","err")</f>
        <v>ok</v>
      </c>
      <c r="V1090" s="504" t="str">
        <f>IF(U1090="ok","",F1090-T1090)</f>
        <v/>
      </c>
    </row>
    <row r="1091" spans="1:22" ht="12" customHeight="1" thickBot="1" x14ac:dyDescent="0.25"/>
    <row r="1092" spans="1:22" ht="17.25" customHeight="1" thickBot="1" x14ac:dyDescent="0.25">
      <c r="A1092" s="434" t="s">
        <v>534</v>
      </c>
      <c r="B1092" s="435"/>
      <c r="C1092" s="435"/>
      <c r="D1092" s="435"/>
      <c r="E1092" s="435"/>
      <c r="F1092" s="436">
        <f t="shared" ref="F1092:N1092" si="414">F1088/F1090</f>
        <v>7.5912191561300704E-2</v>
      </c>
      <c r="G1092" s="436">
        <f t="shared" si="414"/>
        <v>5.5829098342263628E-2</v>
      </c>
      <c r="H1092" s="436">
        <f t="shared" si="414"/>
        <v>9.9710569853990405E-2</v>
      </c>
      <c r="I1092" s="436">
        <f t="shared" si="414"/>
        <v>8.849671336469242E-2</v>
      </c>
      <c r="J1092" s="436">
        <f t="shared" si="414"/>
        <v>0.11139666752944076</v>
      </c>
      <c r="K1092" s="436">
        <f t="shared" si="414"/>
        <v>0.1019427385812801</v>
      </c>
      <c r="L1092" s="436">
        <f t="shared" si="414"/>
        <v>7.6244934695595207E-2</v>
      </c>
      <c r="M1092" s="436">
        <f t="shared" si="414"/>
        <v>7.575068633814977E-2</v>
      </c>
      <c r="N1092" s="436">
        <f t="shared" si="414"/>
        <v>7.8218175847241292E-2</v>
      </c>
      <c r="O1092" s="436">
        <f>O1088/O1090</f>
        <v>6.1344595179461323E-2</v>
      </c>
      <c r="P1092" s="436">
        <f>P1088/P1090</f>
        <v>9.6002553735809654E-2</v>
      </c>
      <c r="Q1092" s="436">
        <f>Q1088/Q1090</f>
        <v>4.7588664175153207E-2</v>
      </c>
      <c r="R1092" s="436">
        <f>R1088/R1090</f>
        <v>9.2561606677996275E-2</v>
      </c>
      <c r="S1092" s="436"/>
      <c r="T1092" s="173"/>
      <c r="U1092" s="173"/>
    </row>
    <row r="1093" spans="1:22" ht="12" customHeight="1" x14ac:dyDescent="0.2">
      <c r="J1093" s="174"/>
      <c r="K1093" s="174"/>
      <c r="L1093" s="174"/>
      <c r="P1093" s="450"/>
    </row>
    <row r="1094" spans="1:22" ht="12" customHeight="1" x14ac:dyDescent="0.2">
      <c r="A1094" s="452"/>
      <c r="Q1094" s="407"/>
    </row>
    <row r="1095" spans="1:22" ht="12" customHeight="1" x14ac:dyDescent="0.2">
      <c r="A1095" s="452"/>
      <c r="Q1095" s="407"/>
    </row>
    <row r="1096" spans="1:22" ht="12" customHeight="1" x14ac:dyDescent="0.2">
      <c r="P1096" s="450"/>
      <c r="Q1096" s="466"/>
    </row>
    <row r="1097" spans="1:22" ht="12" customHeight="1" x14ac:dyDescent="0.2">
      <c r="A1097" s="402" t="s">
        <v>613</v>
      </c>
    </row>
    <row r="1099" spans="1:22" ht="12" customHeight="1" x14ac:dyDescent="0.2">
      <c r="A1099" s="402" t="s">
        <v>537</v>
      </c>
    </row>
    <row r="1100" spans="1:22" ht="12" customHeight="1" x14ac:dyDescent="0.2">
      <c r="A1100" s="55" t="s">
        <v>538</v>
      </c>
      <c r="D1100" s="55" t="s">
        <v>502</v>
      </c>
      <c r="E1100" s="55" t="s">
        <v>124</v>
      </c>
      <c r="F1100" s="57">
        <v>1</v>
      </c>
      <c r="G1100" s="57">
        <f t="shared" ref="G1100:R1100" si="415">IF(VLOOKUP($E1100,$D$5:$AH$1237,3,)=0,0,(VLOOKUP($E1100,$D$5:$AH$1237,G$1,)/VLOOKUP($E1100,$D$5:$AH$1237,3,))*$F1100)</f>
        <v>0.33440024043794503</v>
      </c>
      <c r="H1100" s="57">
        <f t="shared" si="415"/>
        <v>0.10703810344507368</v>
      </c>
      <c r="I1100" s="57">
        <f t="shared" si="415"/>
        <v>8.8456076680053855E-3</v>
      </c>
      <c r="J1100" s="57">
        <f t="shared" si="415"/>
        <v>0.17230393833446733</v>
      </c>
      <c r="K1100" s="57">
        <f t="shared" si="415"/>
        <v>3.9398041897501686E-2</v>
      </c>
      <c r="L1100" s="57">
        <f t="shared" si="415"/>
        <v>2.5506991956296309E-2</v>
      </c>
      <c r="M1100" s="57">
        <f t="shared" si="415"/>
        <v>0.1967463352731969</v>
      </c>
      <c r="N1100" s="57">
        <f t="shared" si="415"/>
        <v>8.2096468040923812E-2</v>
      </c>
      <c r="O1100" s="57">
        <f t="shared" si="415"/>
        <v>2.666394476072954E-2</v>
      </c>
      <c r="P1100" s="57">
        <f t="shared" si="415"/>
        <v>6.9350944578668123E-3</v>
      </c>
      <c r="Q1100" s="57">
        <f t="shared" si="415"/>
        <v>2.2530858905807698E-6</v>
      </c>
      <c r="R1100" s="57">
        <f t="shared" si="415"/>
        <v>6.2980642102945897E-5</v>
      </c>
      <c r="S1100" s="57"/>
      <c r="T1100" s="57">
        <f>SUM(G1100:R1100)</f>
        <v>1.0000000000000002</v>
      </c>
      <c r="U1100" s="61" t="str">
        <f>IF(ABS(F1100-T1100)&lt;0.01,"ok","err")</f>
        <v>ok</v>
      </c>
      <c r="V1100" s="467" t="str">
        <f>IF(U1100="err",T1100-F1100,"")</f>
        <v/>
      </c>
    </row>
    <row r="1102" spans="1:22" ht="12" customHeight="1" x14ac:dyDescent="0.2">
      <c r="A1102" s="402" t="s">
        <v>539</v>
      </c>
    </row>
    <row r="1103" spans="1:22" ht="12" customHeight="1" x14ac:dyDescent="0.2">
      <c r="A1103" s="55" t="s">
        <v>547</v>
      </c>
      <c r="D1103" s="55" t="s">
        <v>1057</v>
      </c>
      <c r="E1103" s="55" t="s">
        <v>1180</v>
      </c>
      <c r="F1103" s="56">
        <v>1</v>
      </c>
      <c r="G1103" s="60">
        <f t="shared" ref="G1103:R1103" si="416">IF(VLOOKUP($E1103,$D$5:$AH$1237,3,)=0,0,(VLOOKUP($E1103,$D$5:$AH$1237,G$1,)/VLOOKUP($E1103,$D$5:$AH$1237,3,))*$F1103)</f>
        <v>0.79573904287901498</v>
      </c>
      <c r="H1103" s="60">
        <f t="shared" si="416"/>
        <v>0.15542304685273367</v>
      </c>
      <c r="I1103" s="60">
        <f t="shared" si="416"/>
        <v>1.2115508755663632E-3</v>
      </c>
      <c r="J1103" s="60">
        <f t="shared" si="416"/>
        <v>1.0663540753227067E-2</v>
      </c>
      <c r="K1103" s="60">
        <f t="shared" si="416"/>
        <v>5.6223532819251539E-4</v>
      </c>
      <c r="L1103" s="60">
        <f t="shared" si="416"/>
        <v>2.593476093009246E-4</v>
      </c>
      <c r="M1103" s="60">
        <f t="shared" si="416"/>
        <v>3.1424600835002544E-4</v>
      </c>
      <c r="N1103" s="60">
        <f t="shared" si="416"/>
        <v>0</v>
      </c>
      <c r="O1103" s="60">
        <f t="shared" si="416"/>
        <v>0</v>
      </c>
      <c r="P1103" s="60">
        <f t="shared" si="416"/>
        <v>3.5682907688447167E-2</v>
      </c>
      <c r="Q1103" s="60">
        <f t="shared" si="416"/>
        <v>2.3137256304218741E-6</v>
      </c>
      <c r="R1103" s="60">
        <f t="shared" si="416"/>
        <v>1.4176827953675845E-4</v>
      </c>
      <c r="S1103" s="60"/>
      <c r="T1103" s="60">
        <f t="shared" ref="T1103:T1108" si="417">SUM(G1103:R1103)</f>
        <v>0.99999999999999989</v>
      </c>
      <c r="U1103" s="61" t="str">
        <f>IF(ABS(F1103-T1103)&lt;0.01,"ok","err")</f>
        <v>ok</v>
      </c>
      <c r="V1103" s="62" t="str">
        <f t="shared" ref="V1103:V1108" si="418">IF(U1103="err",T1103-F1103,"")</f>
        <v/>
      </c>
    </row>
    <row r="1104" spans="1:22" ht="12" customHeight="1" x14ac:dyDescent="0.2">
      <c r="A1104" s="55" t="s">
        <v>1895</v>
      </c>
      <c r="D1104" s="55" t="s">
        <v>505</v>
      </c>
      <c r="F1104" s="56">
        <v>1</v>
      </c>
      <c r="G1104" s="57">
        <f>Services!G10</f>
        <v>0.58898013363729329</v>
      </c>
      <c r="H1104" s="57">
        <f>Services!G12</f>
        <v>0.38654191115213504</v>
      </c>
      <c r="I1104" s="57">
        <f>Services!G14</f>
        <v>1.8450189952115138E-3</v>
      </c>
      <c r="J1104" s="57">
        <f>Services!G16</f>
        <v>2.1214484377851863E-2</v>
      </c>
      <c r="K1104" s="57">
        <f>Services!G18</f>
        <v>0</v>
      </c>
      <c r="L1104" s="57">
        <f>Services!G20</f>
        <v>3.9310669104817636E-4</v>
      </c>
      <c r="M1104" s="57">
        <f>Services!G22</f>
        <v>0</v>
      </c>
      <c r="N1104" s="57">
        <f>Services!G26</f>
        <v>0</v>
      </c>
      <c r="O1104" s="57">
        <f>Services!G28</f>
        <v>0</v>
      </c>
      <c r="P1104" s="57">
        <f>Services!G30</f>
        <v>0</v>
      </c>
      <c r="Q1104" s="57">
        <f>Services!G32</f>
        <v>1.5429270329767957E-5</v>
      </c>
      <c r="R1104" s="57">
        <f>Services!G34</f>
        <v>1.0099158761302665E-3</v>
      </c>
      <c r="S1104" s="57"/>
      <c r="T1104" s="60">
        <f t="shared" si="417"/>
        <v>1</v>
      </c>
      <c r="U1104" s="61" t="str">
        <f>IF(ABS(F1104-T1104)&lt;0.01,"ok","err")</f>
        <v>ok</v>
      </c>
      <c r="V1104" s="62" t="str">
        <f t="shared" si="418"/>
        <v/>
      </c>
    </row>
    <row r="1105" spans="1:22" ht="12" customHeight="1" x14ac:dyDescent="0.2">
      <c r="A1105" s="55" t="s">
        <v>548</v>
      </c>
      <c r="D1105" s="55" t="s">
        <v>506</v>
      </c>
      <c r="F1105" s="56">
        <v>1</v>
      </c>
      <c r="G1105" s="57">
        <f>Meters!$G$10</f>
        <v>0.62751633271645912</v>
      </c>
      <c r="H1105" s="57">
        <f>Meters!$G$12</f>
        <v>0.22878013572991479</v>
      </c>
      <c r="I1105" s="57">
        <f>Meters!$G$14</f>
        <v>5.346549283405104E-3</v>
      </c>
      <c r="J1105" s="57">
        <f>Meters!$G$16</f>
        <v>6.713174382168749E-2</v>
      </c>
      <c r="K1105" s="57">
        <f>Meters!$G$18</f>
        <v>2.4638945664571001E-2</v>
      </c>
      <c r="L1105" s="57">
        <f>Meters!$G$20</f>
        <v>2.5242075584670531E-3</v>
      </c>
      <c r="M1105" s="57">
        <f>Meters!$G$22</f>
        <v>1.7828519500567491E-2</v>
      </c>
      <c r="N1105" s="57">
        <f>Meters!$G$26</f>
        <v>2.4250190377645729E-2</v>
      </c>
      <c r="O1105" s="57">
        <f>Meters!$G$28</f>
        <v>8.9094321022258754E-4</v>
      </c>
      <c r="P1105" s="57">
        <f>Meters!$G$30</f>
        <v>0</v>
      </c>
      <c r="Q1105" s="57">
        <f>Meters!$G$32</f>
        <v>1.6438787288179267E-5</v>
      </c>
      <c r="R1105" s="57">
        <f>Meters!$G$34</f>
        <v>1.0759933497717338E-3</v>
      </c>
      <c r="S1105" s="57">
        <v>0</v>
      </c>
      <c r="T1105" s="60">
        <f t="shared" si="417"/>
        <v>1.0000000000000002</v>
      </c>
      <c r="U1105" s="61" t="str">
        <f>IF(ABS(F1105-T1105)&lt;0.01,"ok","err")</f>
        <v>ok</v>
      </c>
      <c r="V1105" s="62" t="str">
        <f t="shared" si="418"/>
        <v/>
      </c>
    </row>
    <row r="1106" spans="1:22" ht="12" customHeight="1" x14ac:dyDescent="0.2">
      <c r="A1106" s="55" t="s">
        <v>549</v>
      </c>
      <c r="D1106" s="55" t="s">
        <v>507</v>
      </c>
      <c r="E1106" s="55" t="s">
        <v>611</v>
      </c>
      <c r="F1106" s="56">
        <v>1</v>
      </c>
      <c r="G1106" s="60">
        <f t="shared" ref="G1106:N1107" si="419">IF(VLOOKUP($E1106,$D$5:$AH$1237,3,)=0,0,(VLOOKUP($E1106,$D$5:$AH$1237,G$1,)/VLOOKUP($E1106,$D$5:$AH$1237,3,))*$F1106)</f>
        <v>0</v>
      </c>
      <c r="H1106" s="60">
        <f t="shared" si="419"/>
        <v>0</v>
      </c>
      <c r="I1106" s="60">
        <f t="shared" si="419"/>
        <v>0</v>
      </c>
      <c r="J1106" s="60">
        <f t="shared" si="419"/>
        <v>0</v>
      </c>
      <c r="K1106" s="60">
        <f t="shared" si="419"/>
        <v>0</v>
      </c>
      <c r="L1106" s="60">
        <f t="shared" si="419"/>
        <v>0</v>
      </c>
      <c r="M1106" s="60">
        <f t="shared" si="419"/>
        <v>0</v>
      </c>
      <c r="N1106" s="60">
        <f t="shared" si="419"/>
        <v>0</v>
      </c>
      <c r="O1106" s="60">
        <v>0</v>
      </c>
      <c r="P1106" s="60">
        <v>1</v>
      </c>
      <c r="Q1106" s="60">
        <f>IF(VLOOKUP($E1106,$D$5:$AH$1237,3,)=0,0,(VLOOKUP($E1106,$D$5:$AH$1237,Q$1,)/VLOOKUP($E1106,$D$5:$AH$1237,3,))*$F1106)</f>
        <v>0</v>
      </c>
      <c r="R1106" s="60">
        <f>IF(VLOOKUP($E1106,$D$5:$AH$1237,3,)=0,0,(VLOOKUP($E1106,$D$5:$AH$1237,R$1,)/VLOOKUP($E1106,$D$5:$AH$1237,3,))*$F1106)</f>
        <v>0</v>
      </c>
      <c r="S1106" s="60"/>
      <c r="T1106" s="60">
        <f t="shared" si="417"/>
        <v>1</v>
      </c>
      <c r="U1106" s="61" t="str">
        <f>IF(ABS(F1106-T1106)&lt;0.01,"ok","err")</f>
        <v>ok</v>
      </c>
      <c r="V1106" s="62" t="str">
        <f t="shared" si="418"/>
        <v/>
      </c>
    </row>
    <row r="1107" spans="1:22" ht="12" customHeight="1" x14ac:dyDescent="0.2">
      <c r="A1107" s="55" t="s">
        <v>550</v>
      </c>
      <c r="D1107" s="55" t="s">
        <v>508</v>
      </c>
      <c r="E1107" s="55" t="s">
        <v>1118</v>
      </c>
      <c r="F1107" s="56">
        <v>1</v>
      </c>
      <c r="G1107" s="60">
        <f t="shared" si="419"/>
        <v>0.64881334584609307</v>
      </c>
      <c r="H1107" s="60">
        <f t="shared" si="419"/>
        <v>0.25345129902202906</v>
      </c>
      <c r="I1107" s="60">
        <f t="shared" si="419"/>
        <v>9.8784945174355421E-3</v>
      </c>
      <c r="J1107" s="60">
        <f t="shared" si="419"/>
        <v>4.3473093450558137E-2</v>
      </c>
      <c r="K1107" s="60">
        <f t="shared" si="419"/>
        <v>2.2921194309987159E-3</v>
      </c>
      <c r="L1107" s="60">
        <f t="shared" si="419"/>
        <v>5.2865380815963646E-3</v>
      </c>
      <c r="M1107" s="60">
        <f t="shared" si="419"/>
        <v>6.4055862886496099E-3</v>
      </c>
      <c r="N1107" s="60">
        <f t="shared" si="419"/>
        <v>1.1113306332114986E-3</v>
      </c>
      <c r="O1107" s="60">
        <f>IF(VLOOKUP($E1107,$D$5:$AH$1237,3,)=0,0,(VLOOKUP($E1107,$D$5:$AH$1237,O$1,)/VLOOKUP($E1107,$D$5:$AH$1237,3,))*$F1107)</f>
        <v>7.7175738417465173E-5</v>
      </c>
      <c r="P1107" s="60">
        <f>IF(VLOOKUP($E1107,$D$5:$AH$1237,3,)=0,0,(VLOOKUP($E1107,$D$5:$AH$1237,P$1,)/VLOOKUP($E1107,$D$5:$AH$1237,3,))*$F1107)</f>
        <v>2.9093709868616022E-2</v>
      </c>
      <c r="Q1107" s="60">
        <f>IF(VLOOKUP($E1107,$D$5:$AH$1237,3,)=0,0,(VLOOKUP($E1107,$D$5:$AH$1237,Q$1,)/VLOOKUP($E1107,$D$5:$AH$1237,3,))*$F1107)</f>
        <v>1.5435147683493036E-6</v>
      </c>
      <c r="R1107" s="60">
        <f>IF(VLOOKUP($E1107,$D$5:$AH$1237,3,)=0,0,(VLOOKUP($E1107,$D$5:$AH$1237,R$1,)/VLOOKUP($E1107,$D$5:$AH$1237,3,))*$F1107)</f>
        <v>1.1576360762619777E-4</v>
      </c>
      <c r="S1107" s="60"/>
      <c r="T1107" s="60">
        <f t="shared" si="417"/>
        <v>1</v>
      </c>
      <c r="U1107" s="61" t="str">
        <f>IF(ABS(F1107-T1107)&lt;0.01,"ok","err")</f>
        <v>ok</v>
      </c>
      <c r="V1107" s="62" t="str">
        <f t="shared" si="418"/>
        <v/>
      </c>
    </row>
    <row r="1108" spans="1:22" ht="12" customHeight="1" x14ac:dyDescent="0.2">
      <c r="A1108" s="55" t="s">
        <v>1222</v>
      </c>
      <c r="D1108" s="55" t="s">
        <v>509</v>
      </c>
      <c r="E1108" s="55" t="s">
        <v>1119</v>
      </c>
      <c r="F1108" s="56">
        <v>1</v>
      </c>
      <c r="G1108" s="60">
        <f t="shared" ref="G1108:R1108" si="420">IF(VLOOKUP($E1108,$D$5:$AH$1237,3,)=0,0,ROUND((VLOOKUP($E1108,$D$5:$AH$1237,G$1,)/VLOOKUP($E1108,$D$5:$AH$1237,3,))*$F1108,10))</f>
        <v>0.79568414779999996</v>
      </c>
      <c r="H1108" s="60">
        <f t="shared" si="420"/>
        <v>0.1554123248</v>
      </c>
      <c r="I1108" s="60">
        <f t="shared" si="420"/>
        <v>1.2114673E-3</v>
      </c>
      <c r="J1108" s="60">
        <f t="shared" si="420"/>
        <v>1.06628051E-2</v>
      </c>
      <c r="K1108" s="60">
        <f t="shared" si="420"/>
        <v>5.621965E-4</v>
      </c>
      <c r="L1108" s="60">
        <f t="shared" si="420"/>
        <v>2.5932970000000001E-4</v>
      </c>
      <c r="M1108" s="60">
        <f t="shared" si="420"/>
        <v>3.1422429999999999E-4</v>
      </c>
      <c r="N1108" s="60">
        <f t="shared" si="420"/>
        <v>6.8145000000000006E-5</v>
      </c>
      <c r="O1108" s="60">
        <f t="shared" si="420"/>
        <v>1.8928999999999999E-6</v>
      </c>
      <c r="P1108" s="60">
        <f t="shared" si="420"/>
        <v>3.56796048E-2</v>
      </c>
      <c r="Q1108" s="60">
        <f t="shared" si="420"/>
        <v>1.8928999999999999E-6</v>
      </c>
      <c r="R1108" s="60">
        <f t="shared" si="420"/>
        <v>1.419688E-4</v>
      </c>
      <c r="S1108" s="60"/>
      <c r="T1108" s="60">
        <f t="shared" si="417"/>
        <v>0.99999999989999977</v>
      </c>
      <c r="U1108" s="61" t="str">
        <f>IF(ABS(F1108-T1108)&lt;0.000000001,"ok","err")</f>
        <v>ok</v>
      </c>
      <c r="V1108" s="468" t="str">
        <f t="shared" si="418"/>
        <v/>
      </c>
    </row>
    <row r="1109" spans="1:22" ht="12" customHeight="1" x14ac:dyDescent="0.2">
      <c r="F1109" s="56"/>
      <c r="G1109" s="60"/>
      <c r="H1109" s="60"/>
      <c r="I1109" s="60"/>
      <c r="J1109" s="60"/>
      <c r="K1109" s="60"/>
      <c r="L1109" s="60"/>
      <c r="M1109" s="60"/>
      <c r="N1109" s="60"/>
      <c r="O1109" s="60"/>
      <c r="P1109" s="60"/>
      <c r="Q1109" s="60"/>
      <c r="R1109" s="60"/>
      <c r="S1109" s="60"/>
      <c r="T1109" s="60"/>
      <c r="U1109" s="61"/>
    </row>
    <row r="1110" spans="1:22" ht="12" customHeight="1" x14ac:dyDescent="0.2">
      <c r="A1110" s="55" t="s">
        <v>447</v>
      </c>
      <c r="F1110" s="73">
        <f>'Billing Det'!F36</f>
        <v>1320340474</v>
      </c>
      <c r="G1110" s="73">
        <f>'Billing Det'!F8</f>
        <v>481362814</v>
      </c>
      <c r="H1110" s="73">
        <f>'Billing Det'!F10</f>
        <v>184154601</v>
      </c>
      <c r="I1110" s="73">
        <f>'Billing Det'!F12</f>
        <v>11258851</v>
      </c>
      <c r="J1110" s="73">
        <f>'Billing Det'!F14</f>
        <v>225868341</v>
      </c>
      <c r="K1110" s="73">
        <f>'Billing Det'!F16</f>
        <v>52162115</v>
      </c>
      <c r="L1110" s="73">
        <f>'Billing Det'!F18</f>
        <v>25639209</v>
      </c>
      <c r="M1110" s="73">
        <f>'Billing Det'!F20</f>
        <v>204368589</v>
      </c>
      <c r="N1110" s="73">
        <f>'Billing Det'!F26</f>
        <v>85627393</v>
      </c>
      <c r="O1110" s="73">
        <f>'Billing Det'!F28</f>
        <v>26235092</v>
      </c>
      <c r="P1110" s="73">
        <f>'Billing Det'!F30</f>
        <v>23551352</v>
      </c>
      <c r="Q1110" s="73">
        <f>'Billing Det'!F32</f>
        <v>2309</v>
      </c>
      <c r="R1110" s="73">
        <f>'Billing Det'!F34</f>
        <v>109808</v>
      </c>
      <c r="S1110" s="73"/>
      <c r="T1110" s="73">
        <f>SUM(G1110:R1110)</f>
        <v>1320340474</v>
      </c>
      <c r="U1110" s="61" t="str">
        <f>IF(ABS(F1110-T1110)&lt;0.01,"ok","err")</f>
        <v>ok</v>
      </c>
      <c r="V1110" s="469" t="str">
        <f>IF(U1110="err",T1110-F1110,"")</f>
        <v/>
      </c>
    </row>
    <row r="1111" spans="1:22" ht="12" customHeight="1" x14ac:dyDescent="0.2">
      <c r="A1111" s="55" t="s">
        <v>2751</v>
      </c>
      <c r="F1111" s="73">
        <v>-12053715</v>
      </c>
      <c r="G1111" s="404">
        <v>0</v>
      </c>
      <c r="H1111" s="404">
        <v>0</v>
      </c>
      <c r="I1111" s="404">
        <v>0</v>
      </c>
      <c r="J1111" s="404">
        <v>0</v>
      </c>
      <c r="K1111" s="404">
        <v>-139125</v>
      </c>
      <c r="L1111" s="404">
        <v>0</v>
      </c>
      <c r="M1111" s="404">
        <v>-373866</v>
      </c>
      <c r="N1111" s="404">
        <v>0</v>
      </c>
      <c r="O1111" s="404">
        <v>-11540724</v>
      </c>
      <c r="P1111" s="404">
        <v>0</v>
      </c>
      <c r="Q1111" s="404">
        <v>0</v>
      </c>
      <c r="R1111" s="404">
        <v>0</v>
      </c>
      <c r="S1111" s="60"/>
      <c r="T1111" s="73">
        <f>SUM(G1111:R1111)</f>
        <v>-12053715</v>
      </c>
      <c r="U1111" s="61" t="str">
        <f>IF(ABS(F1111-T1111)&lt;0.01,"ok","err")</f>
        <v>ok</v>
      </c>
    </row>
    <row r="1112" spans="1:22" ht="12" customHeight="1" x14ac:dyDescent="0.2">
      <c r="A1112" s="55" t="s">
        <v>2798</v>
      </c>
      <c r="F1112" s="73">
        <v>41196</v>
      </c>
      <c r="G1112" s="404">
        <v>0</v>
      </c>
      <c r="H1112" s="404">
        <v>0</v>
      </c>
      <c r="I1112" s="404">
        <v>0</v>
      </c>
      <c r="J1112" s="404">
        <v>0</v>
      </c>
      <c r="K1112" s="404">
        <v>2843</v>
      </c>
      <c r="L1112" s="404">
        <v>0</v>
      </c>
      <c r="M1112" s="404">
        <v>38353</v>
      </c>
      <c r="N1112" s="404">
        <v>0</v>
      </c>
      <c r="O1112" s="404">
        <v>0</v>
      </c>
      <c r="P1112" s="404">
        <v>0</v>
      </c>
      <c r="Q1112" s="404">
        <v>0</v>
      </c>
      <c r="R1112" s="404">
        <v>0</v>
      </c>
      <c r="S1112" s="60"/>
      <c r="T1112" s="73">
        <f>SUM(G1112:R1112)</f>
        <v>41196</v>
      </c>
      <c r="U1112" s="61" t="str">
        <f>IF(ABS(F1112-T1112)&lt;0.01,"ok","err")</f>
        <v>ok</v>
      </c>
    </row>
    <row r="1113" spans="1:22" ht="12" customHeight="1" x14ac:dyDescent="0.2">
      <c r="A1113" s="55" t="s">
        <v>2750</v>
      </c>
      <c r="F1113" s="73">
        <f>-19332390-777404+17219</f>
        <v>-20092575</v>
      </c>
      <c r="G1113" s="404">
        <f>'Billing Det'!G8</f>
        <v>-8476853</v>
      </c>
      <c r="H1113" s="404">
        <f>'Billing Det'!G10</f>
        <v>-3169217</v>
      </c>
      <c r="I1113" s="404">
        <f>'Billing Det'!G12</f>
        <v>-177565</v>
      </c>
      <c r="J1113" s="404">
        <f>'Billing Det'!G14</f>
        <v>-4276826</v>
      </c>
      <c r="K1113" s="404">
        <f>'Billing Det'!G16</f>
        <v>-717095</v>
      </c>
      <c r="L1113" s="404">
        <f>'Billing Det'!G18</f>
        <v>-507052</v>
      </c>
      <c r="M1113" s="404">
        <f>'Billing Det'!G20</f>
        <v>-2191634</v>
      </c>
      <c r="N1113" s="404">
        <f>'Billing Det'!G26</f>
        <v>-136830</v>
      </c>
      <c r="O1113" s="404">
        <f>'Billing Det'!G24</f>
        <v>0</v>
      </c>
      <c r="P1113" s="404">
        <f>'Billing Det'!G30</f>
        <v>-436325</v>
      </c>
      <c r="Q1113" s="404">
        <f>'Billing Det'!G32</f>
        <v>-64</v>
      </c>
      <c r="R1113" s="404">
        <f>'Billing Det'!G34</f>
        <v>-3114</v>
      </c>
      <c r="S1113" s="60"/>
      <c r="T1113" s="73">
        <f>ROUND(SUM(G1113:R1113),0)</f>
        <v>-20092575</v>
      </c>
      <c r="U1113" s="61" t="str">
        <f>IF(ABS(F1113-T1113)&lt;0.00001,"ok","err")</f>
        <v>ok</v>
      </c>
    </row>
    <row r="1114" spans="1:22" ht="12" customHeight="1" x14ac:dyDescent="0.2">
      <c r="A1114" s="55" t="s">
        <v>2799</v>
      </c>
      <c r="D1114" s="55" t="s">
        <v>609</v>
      </c>
      <c r="F1114" s="73">
        <f>SUM(F1110:F1113)</f>
        <v>1288235380</v>
      </c>
      <c r="G1114" s="73">
        <f t="shared" ref="G1114:R1114" si="421">SUM(G1110:G1113)</f>
        <v>472885961</v>
      </c>
      <c r="H1114" s="73">
        <f t="shared" si="421"/>
        <v>180985384</v>
      </c>
      <c r="I1114" s="73">
        <f t="shared" si="421"/>
        <v>11081286</v>
      </c>
      <c r="J1114" s="73">
        <f t="shared" si="421"/>
        <v>221591515</v>
      </c>
      <c r="K1114" s="73">
        <f t="shared" si="421"/>
        <v>51308738</v>
      </c>
      <c r="L1114" s="73">
        <f t="shared" si="421"/>
        <v>25132157</v>
      </c>
      <c r="M1114" s="73">
        <f t="shared" si="421"/>
        <v>201841442</v>
      </c>
      <c r="N1114" s="73">
        <f t="shared" si="421"/>
        <v>85490563</v>
      </c>
      <c r="O1114" s="73">
        <f t="shared" si="421"/>
        <v>14694368</v>
      </c>
      <c r="P1114" s="73">
        <f t="shared" si="421"/>
        <v>23115027</v>
      </c>
      <c r="Q1114" s="73">
        <f t="shared" si="421"/>
        <v>2245</v>
      </c>
      <c r="R1114" s="73">
        <f t="shared" si="421"/>
        <v>106694</v>
      </c>
      <c r="S1114" s="60"/>
      <c r="T1114" s="73">
        <f>ROUND(SUM(G1114:R1114),0)</f>
        <v>1288235380</v>
      </c>
      <c r="U1114" s="61" t="str">
        <f>IF(ABS(F1114-T1114)&lt;0.00001,"ok","err")</f>
        <v>ok</v>
      </c>
    </row>
    <row r="1115" spans="1:22" ht="12" customHeight="1" x14ac:dyDescent="0.2">
      <c r="A1115" s="55" t="s">
        <v>2734</v>
      </c>
      <c r="E1115" s="55" t="s">
        <v>609</v>
      </c>
      <c r="F1115" s="73">
        <f>263777-65043-64701</f>
        <v>134033</v>
      </c>
      <c r="G1115" s="404">
        <f t="shared" ref="G1115:R1117" si="422">IF(VLOOKUP($E1115,$D$5:$AH$1237,3,)=0,0,(VLOOKUP($E1115,$D$5:$AH$1237,G$1,)/VLOOKUP($E1115,$D$5:$AH$1237,3,))*$F1115)</f>
        <v>49200.887504512568</v>
      </c>
      <c r="H1115" s="404">
        <f t="shared" si="422"/>
        <v>18830.420550685387</v>
      </c>
      <c r="I1115" s="404">
        <f t="shared" si="422"/>
        <v>1152.9399281348724</v>
      </c>
      <c r="J1115" s="404">
        <f t="shared" si="422"/>
        <v>23055.239741975569</v>
      </c>
      <c r="K1115" s="404">
        <f t="shared" si="422"/>
        <v>5338.3598891329939</v>
      </c>
      <c r="L1115" s="404">
        <f t="shared" si="422"/>
        <v>2614.8469848584659</v>
      </c>
      <c r="M1115" s="404">
        <f t="shared" si="422"/>
        <v>21000.3656285127</v>
      </c>
      <c r="N1115" s="404">
        <f t="shared" si="422"/>
        <v>8894.7693942228161</v>
      </c>
      <c r="O1115" s="404">
        <f t="shared" si="422"/>
        <v>1528.8589777312282</v>
      </c>
      <c r="P1115" s="404">
        <f t="shared" si="422"/>
        <v>2404.9769646064219</v>
      </c>
      <c r="Q1115" s="404">
        <f t="shared" si="422"/>
        <v>0.23357849789841978</v>
      </c>
      <c r="R1115" s="404">
        <f t="shared" si="422"/>
        <v>11.10085712907528</v>
      </c>
      <c r="S1115" s="60"/>
      <c r="T1115" s="73">
        <f t="shared" ref="T1115:T1122" si="423">SUM(G1115:R1115)</f>
        <v>134033</v>
      </c>
      <c r="U1115" s="61" t="str">
        <f t="shared" ref="U1115:U1122" si="424">IF(ABS(F1115-T1115)&lt;0.01,"ok","err")</f>
        <v>ok</v>
      </c>
    </row>
    <row r="1116" spans="1:22" ht="12" customHeight="1" x14ac:dyDescent="0.2">
      <c r="A1116" s="408" t="s">
        <v>968</v>
      </c>
      <c r="E1116" s="55" t="s">
        <v>609</v>
      </c>
      <c r="F1116" s="73">
        <v>-5107000</v>
      </c>
      <c r="G1116" s="404">
        <f t="shared" si="422"/>
        <v>-1874679.6123756515</v>
      </c>
      <c r="H1116" s="404">
        <f t="shared" si="422"/>
        <v>-717487.16922213393</v>
      </c>
      <c r="I1116" s="404">
        <f t="shared" si="422"/>
        <v>-43929.959136815509</v>
      </c>
      <c r="J1116" s="404">
        <f t="shared" si="422"/>
        <v>-878463.58256749634</v>
      </c>
      <c r="K1116" s="404">
        <f t="shared" si="422"/>
        <v>-203405.16107079751</v>
      </c>
      <c r="L1116" s="404">
        <f t="shared" si="422"/>
        <v>-99632.355850217369</v>
      </c>
      <c r="M1116" s="404">
        <f t="shared" si="422"/>
        <v>-800167.62487457832</v>
      </c>
      <c r="N1116" s="404">
        <f t="shared" si="422"/>
        <v>-338913.45635997044</v>
      </c>
      <c r="O1116" s="404">
        <f t="shared" si="422"/>
        <v>-58253.436088675036</v>
      </c>
      <c r="P1116" s="404">
        <f t="shared" si="422"/>
        <v>-91635.771476017064</v>
      </c>
      <c r="Q1116" s="404">
        <f t="shared" si="422"/>
        <v>-8.899937991145686</v>
      </c>
      <c r="R1116" s="404">
        <f t="shared" si="422"/>
        <v>-422.97103965581198</v>
      </c>
      <c r="S1116" s="60"/>
      <c r="T1116" s="73">
        <f t="shared" si="423"/>
        <v>-5107000</v>
      </c>
      <c r="U1116" s="61" t="str">
        <f t="shared" si="424"/>
        <v>ok</v>
      </c>
    </row>
    <row r="1117" spans="1:22" ht="12" customHeight="1" x14ac:dyDescent="0.2">
      <c r="A1117" s="55" t="s">
        <v>967</v>
      </c>
      <c r="E1117" s="55" t="s">
        <v>609</v>
      </c>
      <c r="F1117" s="73">
        <v>8438658</v>
      </c>
      <c r="G1117" s="404">
        <f t="shared" si="422"/>
        <v>3097665.9699257277</v>
      </c>
      <c r="H1117" s="404">
        <f t="shared" si="422"/>
        <v>1185554.8933725699</v>
      </c>
      <c r="I1117" s="404">
        <f t="shared" si="422"/>
        <v>72588.584513327063</v>
      </c>
      <c r="J1117" s="404">
        <f t="shared" si="422"/>
        <v>1451547.6284985046</v>
      </c>
      <c r="K1117" s="404">
        <f t="shared" si="422"/>
        <v>336100.76164311217</v>
      </c>
      <c r="L1117" s="404">
        <f t="shared" si="422"/>
        <v>164629.60187082115</v>
      </c>
      <c r="M1117" s="404">
        <f t="shared" si="422"/>
        <v>1322173.669275281</v>
      </c>
      <c r="N1117" s="404">
        <f t="shared" si="422"/>
        <v>560010.72054429527</v>
      </c>
      <c r="O1117" s="404">
        <f t="shared" si="422"/>
        <v>96256.280492889433</v>
      </c>
      <c r="P1117" s="404">
        <f t="shared" si="422"/>
        <v>151416.27884320801</v>
      </c>
      <c r="Q1117" s="404">
        <f t="shared" si="422"/>
        <v>14.705998223709708</v>
      </c>
      <c r="R1117" s="404">
        <f t="shared" si="422"/>
        <v>698.90502204030452</v>
      </c>
      <c r="S1117" s="60"/>
      <c r="T1117" s="73">
        <f t="shared" si="423"/>
        <v>8438658</v>
      </c>
      <c r="U1117" s="61" t="str">
        <f t="shared" si="424"/>
        <v>ok</v>
      </c>
    </row>
    <row r="1118" spans="1:22" ht="12" customHeight="1" x14ac:dyDescent="0.2">
      <c r="A1118" s="408" t="s">
        <v>969</v>
      </c>
      <c r="F1118" s="73">
        <f>SUM(F1114:F1117)</f>
        <v>1291701071</v>
      </c>
      <c r="G1118" s="73">
        <f t="shared" ref="G1118:R1118" si="425">SUM(G1114:G1117)</f>
        <v>474158148.24505454</v>
      </c>
      <c r="H1118" s="73">
        <f t="shared" si="425"/>
        <v>181472282.14470109</v>
      </c>
      <c r="I1118" s="73">
        <f t="shared" si="425"/>
        <v>11111097.565304646</v>
      </c>
      <c r="J1118" s="73">
        <f t="shared" si="425"/>
        <v>222187654.28567299</v>
      </c>
      <c r="K1118" s="73">
        <f t="shared" si="425"/>
        <v>51446771.960461453</v>
      </c>
      <c r="L1118" s="73">
        <f t="shared" si="425"/>
        <v>25199769.093005463</v>
      </c>
      <c r="M1118" s="73">
        <f t="shared" si="425"/>
        <v>202384448.4100292</v>
      </c>
      <c r="N1118" s="73">
        <f t="shared" si="425"/>
        <v>85720555.033578545</v>
      </c>
      <c r="O1118" s="73">
        <f t="shared" si="425"/>
        <v>14733899.703381944</v>
      </c>
      <c r="P1118" s="73">
        <f t="shared" si="425"/>
        <v>23177212.484331802</v>
      </c>
      <c r="Q1118" s="73">
        <f t="shared" si="425"/>
        <v>2251.0396387304627</v>
      </c>
      <c r="R1118" s="73">
        <f t="shared" si="425"/>
        <v>106981.03483951357</v>
      </c>
      <c r="S1118" s="73"/>
      <c r="T1118" s="73">
        <f>SUM(G1118:R1118)</f>
        <v>1291701071.0000002</v>
      </c>
      <c r="U1118" s="61" t="str">
        <f t="shared" si="424"/>
        <v>ok</v>
      </c>
      <c r="V1118" s="62" t="str">
        <f>IF(U1118="err",T1118-F1118,"")</f>
        <v/>
      </c>
    </row>
    <row r="1119" spans="1:22" ht="12" customHeight="1" x14ac:dyDescent="0.2">
      <c r="A1119" s="55" t="s">
        <v>2351</v>
      </c>
      <c r="F1119" s="73">
        <v>18161927656</v>
      </c>
      <c r="G1119" s="73">
        <f>'Billing Det'!D8</f>
        <v>5944626245</v>
      </c>
      <c r="H1119" s="73">
        <f>'Billing Det'!D10</f>
        <v>1943096458</v>
      </c>
      <c r="I1119" s="73">
        <f>'Billing Det'!D12</f>
        <v>157537383</v>
      </c>
      <c r="J1119" s="73">
        <f>'Billing Det'!D14</f>
        <v>3069778185</v>
      </c>
      <c r="K1119" s="73">
        <f>'Billing Det'!D16</f>
        <v>802429053</v>
      </c>
      <c r="L1119" s="73">
        <f>'Billing Det'!D18</f>
        <v>413123136</v>
      </c>
      <c r="M1119" s="73">
        <f>'Billing Det'!D20</f>
        <v>3552305513</v>
      </c>
      <c r="N1119" s="73">
        <f>'Billing Det'!D26</f>
        <v>1608310112</v>
      </c>
      <c r="O1119" s="73">
        <f>'Billing Det'!D28</f>
        <v>546287246</v>
      </c>
      <c r="P1119" s="73">
        <f>'Billing Det'!D30</f>
        <v>123275608</v>
      </c>
      <c r="Q1119" s="73">
        <f>'Billing Det'!D32</f>
        <v>40050</v>
      </c>
      <c r="R1119" s="73">
        <f>'Billing Det'!D34</f>
        <v>1118667</v>
      </c>
      <c r="S1119" s="73"/>
      <c r="T1119" s="73">
        <f t="shared" si="423"/>
        <v>18161927656</v>
      </c>
      <c r="U1119" s="61" t="str">
        <f t="shared" si="424"/>
        <v>ok</v>
      </c>
      <c r="V1119" s="62" t="str">
        <f>IF(U1119="err",T1119-F1119,"")</f>
        <v/>
      </c>
    </row>
    <row r="1120" spans="1:22" ht="12" customHeight="1" x14ac:dyDescent="0.2">
      <c r="A1120" s="55" t="s">
        <v>2732</v>
      </c>
      <c r="F1120" s="73">
        <v>-131484040</v>
      </c>
      <c r="G1120" s="73">
        <f>'Billing Det'!E8</f>
        <v>-454438</v>
      </c>
      <c r="H1120" s="73">
        <f>'Billing Det'!E10</f>
        <v>-40427740</v>
      </c>
      <c r="I1120" s="73">
        <f>'Billing Det'!E12</f>
        <v>-301217</v>
      </c>
      <c r="J1120" s="73">
        <f>'Billing Det'!E14</f>
        <v>-6968747</v>
      </c>
      <c r="K1120" s="73">
        <f>'Billing Det'!E16</f>
        <v>-79259287</v>
      </c>
      <c r="L1120" s="73">
        <f>'Billing Det'!E18</f>
        <v>40279476</v>
      </c>
      <c r="M1120" s="73">
        <f>'Billing Det'!E20</f>
        <v>59066890</v>
      </c>
      <c r="N1120" s="73">
        <f>'Billing Det'!E26</f>
        <v>-60003830</v>
      </c>
      <c r="O1120" s="73">
        <f>'Billing Det'!E28</f>
        <v>-43416000</v>
      </c>
      <c r="P1120" s="73">
        <f>'Billing Det'!E30</f>
        <v>0</v>
      </c>
      <c r="Q1120" s="73">
        <f>'Billing Det'!E32</f>
        <v>0</v>
      </c>
      <c r="R1120" s="73">
        <f>'Billing Det'!E34</f>
        <v>853</v>
      </c>
      <c r="S1120" s="73"/>
      <c r="T1120" s="73">
        <f>SUM(G1120:R1120)</f>
        <v>-131484040</v>
      </c>
      <c r="U1120" s="61" t="str">
        <f t="shared" si="424"/>
        <v>ok</v>
      </c>
      <c r="V1120" s="62"/>
    </row>
    <row r="1121" spans="1:22" ht="12" customHeight="1" x14ac:dyDescent="0.2">
      <c r="A1121" s="55" t="s">
        <v>2733</v>
      </c>
      <c r="F1121" s="73">
        <f>F1119+F1120</f>
        <v>18030443616</v>
      </c>
      <c r="G1121" s="73">
        <f>G1119+G1120</f>
        <v>5944171807</v>
      </c>
      <c r="H1121" s="73">
        <f t="shared" ref="H1121:R1121" si="426">H1119+H1120</f>
        <v>1902668718</v>
      </c>
      <c r="I1121" s="73">
        <f t="shared" si="426"/>
        <v>157236166</v>
      </c>
      <c r="J1121" s="73">
        <f t="shared" si="426"/>
        <v>3062809438</v>
      </c>
      <c r="K1121" s="73">
        <f t="shared" si="426"/>
        <v>723169766</v>
      </c>
      <c r="L1121" s="73">
        <f t="shared" si="426"/>
        <v>453402612</v>
      </c>
      <c r="M1121" s="73">
        <f t="shared" si="426"/>
        <v>3611372403</v>
      </c>
      <c r="N1121" s="73">
        <f t="shared" si="426"/>
        <v>1548306282</v>
      </c>
      <c r="O1121" s="73">
        <f t="shared" si="426"/>
        <v>502871246</v>
      </c>
      <c r="P1121" s="73">
        <f t="shared" si="426"/>
        <v>123275608</v>
      </c>
      <c r="Q1121" s="73">
        <f t="shared" si="426"/>
        <v>40050</v>
      </c>
      <c r="R1121" s="73">
        <f t="shared" si="426"/>
        <v>1119520</v>
      </c>
      <c r="S1121" s="73"/>
      <c r="T1121" s="73">
        <f>SUM(G1121:R1121)</f>
        <v>18030443616</v>
      </c>
      <c r="U1121" s="61" t="str">
        <f t="shared" si="424"/>
        <v>ok</v>
      </c>
      <c r="V1121" s="62"/>
    </row>
    <row r="1122" spans="1:22" ht="12" customHeight="1" x14ac:dyDescent="0.2">
      <c r="A1122" s="55" t="s">
        <v>2350</v>
      </c>
      <c r="D1122" s="55" t="s">
        <v>124</v>
      </c>
      <c r="F1122" s="73">
        <v>19319457805.969387</v>
      </c>
      <c r="G1122" s="73">
        <f>G1121/(1-0.079911)</f>
        <v>6460431335.4468966</v>
      </c>
      <c r="H1122" s="73">
        <f>H1121/(1-0.079911)</f>
        <v>2067918123.1380875</v>
      </c>
      <c r="I1122" s="73">
        <f>I1121/(1-0.079911)</f>
        <v>170892344.11018932</v>
      </c>
      <c r="J1122" s="73">
        <f>J1121/(1-0.079911)</f>
        <v>3328818666.4550929</v>
      </c>
      <c r="K1122" s="73">
        <f>K1121/(1-0.049897)</f>
        <v>761148808.07659793</v>
      </c>
      <c r="L1122" s="73">
        <f>L1121/(1-0.079911)</f>
        <v>492781254.85686707</v>
      </c>
      <c r="M1122" s="73">
        <f>M1121/(1-0.049897)</f>
        <v>3801032522.7896342</v>
      </c>
      <c r="N1122" s="73">
        <f>N1121/(1-0.023803)</f>
        <v>1586059250.3357418</v>
      </c>
      <c r="O1122" s="73">
        <f>O1121/(1-0.023803)</f>
        <v>515132955.74561286</v>
      </c>
      <c r="P1122" s="73">
        <f>P1121/(1-0.079911)</f>
        <v>133982264.75917003</v>
      </c>
      <c r="Q1122" s="73">
        <f>Q1121/(1-0.079911)</f>
        <v>43528.397796300138</v>
      </c>
      <c r="R1122" s="73">
        <f>R1121/(1-0.079911)</f>
        <v>1216751.8577007223</v>
      </c>
      <c r="S1122" s="73"/>
      <c r="T1122" s="433">
        <f t="shared" si="423"/>
        <v>19319457805.969387</v>
      </c>
      <c r="U1122" s="61" t="str">
        <f t="shared" si="424"/>
        <v>ok</v>
      </c>
      <c r="V1122" s="62" t="str">
        <f>IF(U1122="err",T1122-F1122,"")</f>
        <v/>
      </c>
    </row>
    <row r="1123" spans="1:22" ht="12" customHeight="1" x14ac:dyDescent="0.2">
      <c r="F1123" s="73"/>
      <c r="G1123" s="73"/>
      <c r="H1123" s="73"/>
      <c r="I1123" s="73"/>
      <c r="J1123" s="73"/>
      <c r="K1123" s="73"/>
      <c r="L1123" s="73"/>
      <c r="M1123" s="73"/>
      <c r="N1123" s="73"/>
      <c r="O1123" s="73"/>
      <c r="P1123" s="73"/>
      <c r="Q1123" s="73"/>
      <c r="R1123" s="73"/>
      <c r="S1123" s="73"/>
      <c r="T1123" s="433"/>
      <c r="U1123" s="61"/>
    </row>
    <row r="1124" spans="1:22" ht="12" customHeight="1" x14ac:dyDescent="0.2">
      <c r="A1124" s="171" t="s">
        <v>685</v>
      </c>
      <c r="F1124" s="73"/>
      <c r="G1124" s="73"/>
      <c r="H1124" s="73"/>
      <c r="I1124" s="73"/>
      <c r="J1124" s="73"/>
      <c r="K1124" s="73"/>
      <c r="L1124" s="73"/>
      <c r="M1124" s="73"/>
      <c r="N1124" s="73"/>
      <c r="O1124" s="73"/>
      <c r="P1124" s="73"/>
      <c r="Q1124" s="73"/>
      <c r="R1124" s="73"/>
      <c r="S1124" s="73"/>
      <c r="T1124" s="433"/>
      <c r="U1124" s="61"/>
    </row>
    <row r="1125" spans="1:22" ht="12" customHeight="1" x14ac:dyDescent="0.2">
      <c r="A1125" s="55" t="s">
        <v>606</v>
      </c>
      <c r="F1125" s="470">
        <v>8156280</v>
      </c>
      <c r="G1125" s="73">
        <f>'Billing Det'!C8*12</f>
        <v>5044176</v>
      </c>
      <c r="H1125" s="73">
        <f>'Billing Det'!C10*12</f>
        <v>985224</v>
      </c>
      <c r="I1125" s="73">
        <f>'Billing Det'!C12*12</f>
        <v>7680</v>
      </c>
      <c r="J1125" s="73">
        <f>'Billing Det'!C14*12</f>
        <v>67596</v>
      </c>
      <c r="K1125" s="73">
        <f>'Billing Det'!C16*12</f>
        <v>3564</v>
      </c>
      <c r="L1125" s="73">
        <f>'Billing Det'!C18*12</f>
        <v>1644</v>
      </c>
      <c r="M1125" s="73">
        <f>'Billing Det'!C20*12</f>
        <v>1992</v>
      </c>
      <c r="N1125" s="73">
        <f>'Billing Det'!C26*12</f>
        <v>432</v>
      </c>
      <c r="O1125" s="73">
        <f>'Billing Det'!C28*12</f>
        <v>12</v>
      </c>
      <c r="P1125" s="73">
        <f>'Billing Det'!C30*12</f>
        <v>2035740</v>
      </c>
      <c r="Q1125" s="73">
        <f>'Billing Det'!C32*12</f>
        <v>132</v>
      </c>
      <c r="R1125" s="73">
        <f>'Billing Det'!C34*12</f>
        <v>8088</v>
      </c>
      <c r="S1125" s="73"/>
      <c r="T1125" s="73">
        <f t="shared" ref="T1125:T1132" si="427">SUM(G1125:R1125)</f>
        <v>8156280</v>
      </c>
      <c r="U1125" s="61" t="str">
        <f t="shared" ref="U1125:U1130" si="428">IF(ABS(F1125-T1125)&lt;0.01,"ok","err")</f>
        <v>ok</v>
      </c>
      <c r="V1125" s="62" t="str">
        <f t="shared" ref="V1125:V1133" si="429">IF(U1125="err",T1125-F1125,"")</f>
        <v/>
      </c>
    </row>
    <row r="1126" spans="1:22" ht="12" customHeight="1" x14ac:dyDescent="0.2">
      <c r="A1126" s="55" t="s">
        <v>607</v>
      </c>
      <c r="F1126" s="470">
        <v>679690</v>
      </c>
      <c r="G1126" s="73">
        <f>ROUND(+G1125/12,0)</f>
        <v>420348</v>
      </c>
      <c r="H1126" s="73">
        <f t="shared" ref="H1126:R1126" si="430">ROUND(+H1125/12,0)</f>
        <v>82102</v>
      </c>
      <c r="I1126" s="73">
        <f t="shared" si="430"/>
        <v>640</v>
      </c>
      <c r="J1126" s="73">
        <f t="shared" si="430"/>
        <v>5633</v>
      </c>
      <c r="K1126" s="73">
        <f t="shared" si="430"/>
        <v>297</v>
      </c>
      <c r="L1126" s="73">
        <f t="shared" si="430"/>
        <v>137</v>
      </c>
      <c r="M1126" s="73">
        <f t="shared" si="430"/>
        <v>166</v>
      </c>
      <c r="N1126" s="73">
        <f t="shared" si="430"/>
        <v>36</v>
      </c>
      <c r="O1126" s="73">
        <f t="shared" si="430"/>
        <v>1</v>
      </c>
      <c r="P1126" s="73">
        <f t="shared" si="430"/>
        <v>169645</v>
      </c>
      <c r="Q1126" s="73">
        <f t="shared" si="430"/>
        <v>11</v>
      </c>
      <c r="R1126" s="73">
        <f t="shared" si="430"/>
        <v>674</v>
      </c>
      <c r="S1126" s="73"/>
      <c r="T1126" s="73">
        <f t="shared" si="427"/>
        <v>679690</v>
      </c>
      <c r="U1126" s="61" t="str">
        <f t="shared" si="428"/>
        <v>ok</v>
      </c>
      <c r="V1126" s="62" t="str">
        <f t="shared" si="429"/>
        <v/>
      </c>
    </row>
    <row r="1127" spans="1:22" ht="12" customHeight="1" x14ac:dyDescent="0.2">
      <c r="A1127" s="55" t="s">
        <v>608</v>
      </c>
      <c r="F1127" s="73">
        <v>679690</v>
      </c>
      <c r="G1127" s="73">
        <f t="shared" ref="G1127:R1127" si="431">G1126</f>
        <v>420348</v>
      </c>
      <c r="H1127" s="73">
        <f t="shared" si="431"/>
        <v>82102</v>
      </c>
      <c r="I1127" s="73">
        <f>I1126</f>
        <v>640</v>
      </c>
      <c r="J1127" s="73">
        <f t="shared" si="431"/>
        <v>5633</v>
      </c>
      <c r="K1127" s="73">
        <f t="shared" si="431"/>
        <v>297</v>
      </c>
      <c r="L1127" s="73">
        <f t="shared" si="431"/>
        <v>137</v>
      </c>
      <c r="M1127" s="73">
        <f t="shared" si="431"/>
        <v>166</v>
      </c>
      <c r="N1127" s="73">
        <f>N1126</f>
        <v>36</v>
      </c>
      <c r="O1127" s="73">
        <f t="shared" si="431"/>
        <v>1</v>
      </c>
      <c r="P1127" s="73">
        <f t="shared" si="431"/>
        <v>169645</v>
      </c>
      <c r="Q1127" s="73">
        <f t="shared" si="431"/>
        <v>11</v>
      </c>
      <c r="R1127" s="73">
        <f t="shared" si="431"/>
        <v>674</v>
      </c>
      <c r="S1127" s="73"/>
      <c r="T1127" s="73">
        <f t="shared" si="427"/>
        <v>679690</v>
      </c>
      <c r="U1127" s="61" t="str">
        <f t="shared" si="428"/>
        <v>ok</v>
      </c>
      <c r="V1127" s="62" t="str">
        <f t="shared" si="429"/>
        <v/>
      </c>
    </row>
    <row r="1128" spans="1:22" ht="12" customHeight="1" x14ac:dyDescent="0.2">
      <c r="A1128" s="55" t="s">
        <v>939</v>
      </c>
      <c r="D1128" s="55" t="s">
        <v>1118</v>
      </c>
      <c r="F1128" s="73">
        <v>647872</v>
      </c>
      <c r="G1128" s="73">
        <f>ROUND(G1127,0)</f>
        <v>420348</v>
      </c>
      <c r="H1128" s="73">
        <f>ROUND(H1127*2,0)</f>
        <v>164204</v>
      </c>
      <c r="I1128" s="73">
        <f>ROUND(I1127*10,0)</f>
        <v>6400</v>
      </c>
      <c r="J1128" s="73">
        <f>ROUND(J1127*5,0)</f>
        <v>28165</v>
      </c>
      <c r="K1128" s="73">
        <f>ROUND(K1127*5,0)</f>
        <v>1485</v>
      </c>
      <c r="L1128" s="73">
        <f>ROUND(L1127*25,0)</f>
        <v>3425</v>
      </c>
      <c r="M1128" s="73">
        <f>ROUND(M1127*25,0)</f>
        <v>4150</v>
      </c>
      <c r="N1128" s="73">
        <f>ROUND(N1127*20,0)</f>
        <v>720</v>
      </c>
      <c r="O1128" s="73">
        <f>ROUND(O1127*50,0)</f>
        <v>50</v>
      </c>
      <c r="P1128" s="73">
        <f>ROUND(P1127*1/9,0)</f>
        <v>18849</v>
      </c>
      <c r="Q1128" s="73">
        <f>ROUND(Q1127*1/9,0)</f>
        <v>1</v>
      </c>
      <c r="R1128" s="73">
        <f>ROUND(R1127*1/9,0)</f>
        <v>75</v>
      </c>
      <c r="S1128" s="410"/>
      <c r="T1128" s="73">
        <f t="shared" si="427"/>
        <v>647872</v>
      </c>
      <c r="U1128" s="61" t="str">
        <f t="shared" si="428"/>
        <v>ok</v>
      </c>
      <c r="V1128" s="62" t="str">
        <f t="shared" si="429"/>
        <v/>
      </c>
    </row>
    <row r="1129" spans="1:22" ht="12" customHeight="1" x14ac:dyDescent="0.2">
      <c r="A1129" s="55" t="s">
        <v>497</v>
      </c>
      <c r="D1129" s="55" t="s">
        <v>611</v>
      </c>
      <c r="F1129" s="73">
        <f>'Functional Assignment'!F43</f>
        <v>80975589.62000002</v>
      </c>
      <c r="G1129" s="410">
        <v>0</v>
      </c>
      <c r="H1129" s="410">
        <v>0</v>
      </c>
      <c r="I1129" s="410">
        <v>0</v>
      </c>
      <c r="J1129" s="410">
        <v>0</v>
      </c>
      <c r="K1129" s="410">
        <v>0</v>
      </c>
      <c r="L1129" s="73">
        <v>0</v>
      </c>
      <c r="M1129" s="410">
        <v>0</v>
      </c>
      <c r="N1129" s="410">
        <v>0</v>
      </c>
      <c r="O1129" s="410">
        <v>0</v>
      </c>
      <c r="P1129" s="410">
        <v>80975589.62000002</v>
      </c>
      <c r="Q1129" s="410">
        <v>0</v>
      </c>
      <c r="R1129" s="410">
        <v>0</v>
      </c>
      <c r="S1129" s="410"/>
      <c r="T1129" s="73">
        <f t="shared" si="427"/>
        <v>80975589.62000002</v>
      </c>
      <c r="U1129" s="61" t="str">
        <f t="shared" si="428"/>
        <v>ok</v>
      </c>
      <c r="V1129" s="62" t="str">
        <f t="shared" si="429"/>
        <v/>
      </c>
    </row>
    <row r="1130" spans="1:22" ht="12" customHeight="1" x14ac:dyDescent="0.2">
      <c r="A1130" s="55" t="s">
        <v>1117</v>
      </c>
      <c r="D1130" s="55" t="s">
        <v>610</v>
      </c>
      <c r="F1130" s="73">
        <v>679690</v>
      </c>
      <c r="G1130" s="73">
        <f>G1127</f>
        <v>420348</v>
      </c>
      <c r="H1130" s="73">
        <f t="shared" ref="H1130:R1130" si="432">H1127</f>
        <v>82102</v>
      </c>
      <c r="I1130" s="73">
        <f>I1127</f>
        <v>640</v>
      </c>
      <c r="J1130" s="73">
        <f t="shared" si="432"/>
        <v>5633</v>
      </c>
      <c r="K1130" s="73">
        <f t="shared" si="432"/>
        <v>297</v>
      </c>
      <c r="L1130" s="73">
        <f t="shared" si="432"/>
        <v>137</v>
      </c>
      <c r="M1130" s="73">
        <f>M1127</f>
        <v>166</v>
      </c>
      <c r="N1130" s="73">
        <f>N1127</f>
        <v>36</v>
      </c>
      <c r="O1130" s="73">
        <f t="shared" si="432"/>
        <v>1</v>
      </c>
      <c r="P1130" s="73">
        <f t="shared" si="432"/>
        <v>169645</v>
      </c>
      <c r="Q1130" s="73">
        <f t="shared" si="432"/>
        <v>11</v>
      </c>
      <c r="R1130" s="73">
        <f t="shared" si="432"/>
        <v>674</v>
      </c>
      <c r="S1130" s="73"/>
      <c r="T1130" s="73">
        <f t="shared" si="427"/>
        <v>679690</v>
      </c>
      <c r="U1130" s="61" t="str">
        <f t="shared" si="428"/>
        <v>ok</v>
      </c>
      <c r="V1130" s="62" t="str">
        <f t="shared" si="429"/>
        <v/>
      </c>
    </row>
    <row r="1131" spans="1:22" ht="12" customHeight="1" x14ac:dyDescent="0.2">
      <c r="A1131" s="55" t="s">
        <v>940</v>
      </c>
      <c r="D1131" s="55" t="s">
        <v>1119</v>
      </c>
      <c r="F1131" s="73">
        <v>528285</v>
      </c>
      <c r="G1131" s="73">
        <f t="shared" ref="G1131:O1131" si="433">G1127</f>
        <v>420348</v>
      </c>
      <c r="H1131" s="73">
        <f t="shared" si="433"/>
        <v>82102</v>
      </c>
      <c r="I1131" s="73">
        <f t="shared" si="433"/>
        <v>640</v>
      </c>
      <c r="J1131" s="73">
        <f t="shared" si="433"/>
        <v>5633</v>
      </c>
      <c r="K1131" s="73">
        <f t="shared" si="433"/>
        <v>297</v>
      </c>
      <c r="L1131" s="73">
        <f t="shared" si="433"/>
        <v>137</v>
      </c>
      <c r="M1131" s="73">
        <f t="shared" si="433"/>
        <v>166</v>
      </c>
      <c r="N1131" s="73">
        <f t="shared" si="433"/>
        <v>36</v>
      </c>
      <c r="O1131" s="73">
        <f t="shared" si="433"/>
        <v>1</v>
      </c>
      <c r="P1131" s="73">
        <f>ROUND(P1127/9,0)</f>
        <v>18849</v>
      </c>
      <c r="Q1131" s="73">
        <f>ROUND(Q1127/9,0)</f>
        <v>1</v>
      </c>
      <c r="R1131" s="73">
        <f>ROUND(R1127/9,0)</f>
        <v>75</v>
      </c>
      <c r="S1131" s="410"/>
      <c r="T1131" s="73">
        <f t="shared" si="427"/>
        <v>528285</v>
      </c>
      <c r="U1131" s="61" t="str">
        <f>IF(ABS(F1131-T1131)=0,"ok","err")</f>
        <v>ok</v>
      </c>
      <c r="V1131" s="405" t="str">
        <f t="shared" si="429"/>
        <v/>
      </c>
    </row>
    <row r="1132" spans="1:22" ht="12" customHeight="1" x14ac:dyDescent="0.2">
      <c r="A1132" s="55" t="s">
        <v>941</v>
      </c>
      <c r="D1132" s="55" t="s">
        <v>1179</v>
      </c>
      <c r="F1132" s="73">
        <v>527785.55555555562</v>
      </c>
      <c r="G1132" s="73">
        <f>G1127</f>
        <v>420348</v>
      </c>
      <c r="H1132" s="73">
        <f>H1131</f>
        <v>82102</v>
      </c>
      <c r="I1132" s="73">
        <f>I1131</f>
        <v>640</v>
      </c>
      <c r="J1132" s="73">
        <f>J1131</f>
        <v>5633</v>
      </c>
      <c r="K1132" s="73">
        <v>0</v>
      </c>
      <c r="L1132" s="73">
        <f>L1131</f>
        <v>137</v>
      </c>
      <c r="M1132" s="73">
        <v>0</v>
      </c>
      <c r="N1132" s="73">
        <v>0</v>
      </c>
      <c r="O1132" s="73">
        <v>0</v>
      </c>
      <c r="P1132" s="73">
        <f>P1130/9</f>
        <v>18849.444444444445</v>
      </c>
      <c r="Q1132" s="73">
        <f>Q1130/9</f>
        <v>1.2222222222222223</v>
      </c>
      <c r="R1132" s="73">
        <f>R1130/9</f>
        <v>74.888888888888886</v>
      </c>
      <c r="S1132" s="410"/>
      <c r="T1132" s="73">
        <f t="shared" si="427"/>
        <v>527785.55555555562</v>
      </c>
      <c r="U1132" s="61" t="str">
        <f>IF(ABS(F1132-T1132)&lt;0.01,"ok","err")</f>
        <v>ok</v>
      </c>
      <c r="V1132" s="62" t="str">
        <f t="shared" si="429"/>
        <v/>
      </c>
    </row>
    <row r="1133" spans="1:22" ht="12" customHeight="1" x14ac:dyDescent="0.2">
      <c r="A1133" s="55" t="s">
        <v>942</v>
      </c>
      <c r="D1133" s="55" t="s">
        <v>1180</v>
      </c>
      <c r="F1133" s="73">
        <v>528248.55555555562</v>
      </c>
      <c r="G1133" s="73">
        <f>G1127</f>
        <v>420348</v>
      </c>
      <c r="H1133" s="73">
        <f t="shared" ref="H1133:M1133" si="434">H1127</f>
        <v>82102</v>
      </c>
      <c r="I1133" s="73">
        <f t="shared" si="434"/>
        <v>640</v>
      </c>
      <c r="J1133" s="73">
        <f t="shared" si="434"/>
        <v>5633</v>
      </c>
      <c r="K1133" s="73">
        <f t="shared" si="434"/>
        <v>297</v>
      </c>
      <c r="L1133" s="73">
        <f t="shared" si="434"/>
        <v>137</v>
      </c>
      <c r="M1133" s="73">
        <f t="shared" si="434"/>
        <v>166</v>
      </c>
      <c r="N1133" s="73">
        <v>0</v>
      </c>
      <c r="O1133" s="73">
        <v>0</v>
      </c>
      <c r="P1133" s="73">
        <f>P1132</f>
        <v>18849.444444444445</v>
      </c>
      <c r="Q1133" s="73">
        <f>Q1132</f>
        <v>1.2222222222222223</v>
      </c>
      <c r="R1133" s="73">
        <f>R1132</f>
        <v>74.888888888888886</v>
      </c>
      <c r="S1133" s="73"/>
      <c r="T1133" s="73">
        <f>SUM(G1133:S1133)</f>
        <v>528248.55555555562</v>
      </c>
      <c r="U1133" s="61" t="str">
        <f>IF(ABS(F1133-T1133)&lt;0.01,"ok","err")</f>
        <v>ok</v>
      </c>
      <c r="V1133" s="62" t="str">
        <f t="shared" si="429"/>
        <v/>
      </c>
    </row>
    <row r="1134" spans="1:22" ht="12" customHeight="1" x14ac:dyDescent="0.2">
      <c r="F1134" s="471"/>
      <c r="G1134" s="471"/>
      <c r="H1134" s="471"/>
      <c r="I1134" s="471"/>
      <c r="J1134" s="471"/>
      <c r="K1134" s="471"/>
      <c r="L1134" s="471"/>
      <c r="M1134" s="471"/>
      <c r="N1134" s="471"/>
      <c r="O1134" s="471">
        <f>O1118/(SUM($O$1118:$R$1118))</f>
        <v>0.38752673047291586</v>
      </c>
      <c r="P1134" s="471">
        <f>P1118/(SUM($O$1118:$R$1118))</f>
        <v>0.60960027937936323</v>
      </c>
      <c r="Q1134" s="471">
        <f>Q1118/(SUM($O$1118:$R$1118))</f>
        <v>5.9206187698014387E-5</v>
      </c>
      <c r="R1134" s="471">
        <f>R1118/(SUM($O$1118:$R$1118))</f>
        <v>2.8137839600231385E-3</v>
      </c>
      <c r="S1134" s="471"/>
      <c r="T1134" s="471"/>
      <c r="U1134" s="472"/>
      <c r="V1134" s="413"/>
    </row>
    <row r="1135" spans="1:22" ht="12" customHeight="1" x14ac:dyDescent="0.2">
      <c r="A1135" s="171" t="s">
        <v>686</v>
      </c>
      <c r="F1135" s="73"/>
      <c r="G1135" s="73"/>
      <c r="H1135" s="73"/>
      <c r="I1135" s="73"/>
      <c r="J1135" s="73"/>
      <c r="K1135" s="73"/>
      <c r="L1135" s="73"/>
      <c r="M1135" s="73"/>
      <c r="N1135" s="73"/>
      <c r="O1135" s="471">
        <f>O1129/(SUM($O$1129:$R$1129))</f>
        <v>0</v>
      </c>
      <c r="P1135" s="471">
        <f>P1129/(SUM($O$1129:$R$1129))</f>
        <v>1</v>
      </c>
      <c r="Q1135" s="471">
        <f>Q1129/(SUM($O$1129:$R$1129))</f>
        <v>0</v>
      </c>
      <c r="R1135" s="471">
        <f>R1129/(SUM($O$1129:$R$1129))</f>
        <v>0</v>
      </c>
      <c r="S1135" s="73"/>
      <c r="T1135" s="433"/>
      <c r="U1135" s="61"/>
    </row>
    <row r="1136" spans="1:22" ht="12" customHeight="1" x14ac:dyDescent="0.2">
      <c r="A1136" s="55" t="s">
        <v>687</v>
      </c>
      <c r="F1136" s="470">
        <v>679917</v>
      </c>
      <c r="G1136" s="73">
        <f>'Billing Det'!B8</f>
        <v>419902</v>
      </c>
      <c r="H1136" s="73">
        <f>'Billing Det'!B10</f>
        <v>82069</v>
      </c>
      <c r="I1136" s="73">
        <f>'Billing Det'!B12</f>
        <v>643</v>
      </c>
      <c r="J1136" s="73">
        <f>'Billing Det'!B14</f>
        <v>5627</v>
      </c>
      <c r="K1136" s="73">
        <f>'Billing Det'!B16</f>
        <v>298</v>
      </c>
      <c r="L1136" s="73">
        <f>'Billing Det'!B18</f>
        <v>137</v>
      </c>
      <c r="M1136" s="73">
        <f>'Billing Det'!B20</f>
        <v>167</v>
      </c>
      <c r="N1136" s="73">
        <f>'Billing Det'!B26</f>
        <v>35</v>
      </c>
      <c r="O1136" s="73">
        <f>'Billing Det'!B28</f>
        <v>1</v>
      </c>
      <c r="P1136" s="73">
        <f>'Billing Det'!B30</f>
        <v>170307</v>
      </c>
      <c r="Q1136" s="73">
        <f>'Billing Det'!B32</f>
        <v>11</v>
      </c>
      <c r="R1136" s="73">
        <f>'Billing Det'!B34</f>
        <v>720</v>
      </c>
      <c r="S1136" s="73"/>
      <c r="T1136" s="73">
        <f t="shared" ref="T1136:T1143" si="435">SUM(G1136:R1136)</f>
        <v>679917</v>
      </c>
      <c r="U1136" s="61" t="str">
        <f t="shared" ref="U1136:U1143" si="436">IF(ABS(F1136-T1136)&lt;0.01,"ok","err")</f>
        <v>ok</v>
      </c>
      <c r="V1136" s="62" t="str">
        <f t="shared" ref="V1136:V1143" si="437">IF(U1136="err",T1136-F1136,"")</f>
        <v/>
      </c>
    </row>
    <row r="1137" spans="1:22" ht="12" customHeight="1" x14ac:dyDescent="0.2">
      <c r="A1137" s="55" t="s">
        <v>688</v>
      </c>
      <c r="F1137" s="73">
        <v>679917</v>
      </c>
      <c r="G1137" s="73">
        <f t="shared" ref="G1137:M1137" si="438">G1136</f>
        <v>419902</v>
      </c>
      <c r="H1137" s="73">
        <f t="shared" si="438"/>
        <v>82069</v>
      </c>
      <c r="I1137" s="73">
        <f>I1136</f>
        <v>643</v>
      </c>
      <c r="J1137" s="73">
        <f t="shared" si="438"/>
        <v>5627</v>
      </c>
      <c r="K1137" s="73">
        <f t="shared" si="438"/>
        <v>298</v>
      </c>
      <c r="L1137" s="73">
        <f t="shared" si="438"/>
        <v>137</v>
      </c>
      <c r="M1137" s="73">
        <f t="shared" si="438"/>
        <v>167</v>
      </c>
      <c r="N1137" s="73">
        <f>N1136</f>
        <v>35</v>
      </c>
      <c r="O1137" s="73">
        <f>O1136</f>
        <v>1</v>
      </c>
      <c r="P1137" s="73">
        <f>P1136</f>
        <v>170307</v>
      </c>
      <c r="Q1137" s="73">
        <f>Q1136</f>
        <v>11</v>
      </c>
      <c r="R1137" s="73">
        <f>R1136</f>
        <v>720</v>
      </c>
      <c r="S1137" s="410"/>
      <c r="T1137" s="73">
        <f t="shared" si="435"/>
        <v>679917</v>
      </c>
      <c r="U1137" s="61" t="str">
        <f t="shared" si="436"/>
        <v>ok</v>
      </c>
      <c r="V1137" s="62" t="str">
        <f t="shared" si="437"/>
        <v/>
      </c>
    </row>
    <row r="1138" spans="1:22" ht="12" customHeight="1" x14ac:dyDescent="0.2">
      <c r="A1138" s="55" t="s">
        <v>689</v>
      </c>
      <c r="D1138" s="55" t="s">
        <v>694</v>
      </c>
      <c r="F1138" s="73">
        <v>647449</v>
      </c>
      <c r="G1138" s="73">
        <f>G1137</f>
        <v>419902</v>
      </c>
      <c r="H1138" s="73">
        <f>ROUND(H1137*2,0)</f>
        <v>164138</v>
      </c>
      <c r="I1138" s="73">
        <f>I1137*10</f>
        <v>6430</v>
      </c>
      <c r="J1138" s="73">
        <f>J1137*5</f>
        <v>28135</v>
      </c>
      <c r="K1138" s="73">
        <f>K1137*5</f>
        <v>1490</v>
      </c>
      <c r="L1138" s="73">
        <f>L1137*25</f>
        <v>3425</v>
      </c>
      <c r="M1138" s="73">
        <f>M1137*25</f>
        <v>4175</v>
      </c>
      <c r="N1138" s="73">
        <f>N1137*20</f>
        <v>700</v>
      </c>
      <c r="O1138" s="73">
        <f>ROUND(O1137*50,0)</f>
        <v>50</v>
      </c>
      <c r="P1138" s="73">
        <f>ROUND(P1137*1/9,0)</f>
        <v>18923</v>
      </c>
      <c r="Q1138" s="73">
        <f>ROUND(Q1137*1/9,0)</f>
        <v>1</v>
      </c>
      <c r="R1138" s="73">
        <f>ROUND(R1137*1/9,0)</f>
        <v>80</v>
      </c>
      <c r="S1138" s="410"/>
      <c r="T1138" s="73">
        <f t="shared" si="435"/>
        <v>647449</v>
      </c>
      <c r="U1138" s="61" t="str">
        <f t="shared" si="436"/>
        <v>ok</v>
      </c>
      <c r="V1138" s="473" t="str">
        <f t="shared" si="437"/>
        <v/>
      </c>
    </row>
    <row r="1139" spans="1:22" ht="12" customHeight="1" x14ac:dyDescent="0.2">
      <c r="A1139" s="55" t="s">
        <v>497</v>
      </c>
      <c r="D1139" s="55" t="s">
        <v>695</v>
      </c>
      <c r="F1139" s="73">
        <f>'Functional Assignment'!F43</f>
        <v>80975589.62000002</v>
      </c>
      <c r="G1139" s="410">
        <v>0</v>
      </c>
      <c r="H1139" s="410">
        <v>0</v>
      </c>
      <c r="I1139" s="410">
        <v>0</v>
      </c>
      <c r="J1139" s="410">
        <v>0</v>
      </c>
      <c r="K1139" s="410">
        <v>0</v>
      </c>
      <c r="L1139" s="73">
        <v>0</v>
      </c>
      <c r="M1139" s="410">
        <v>0</v>
      </c>
      <c r="N1139" s="410">
        <v>0</v>
      </c>
      <c r="O1139" s="410">
        <f>ROUND(O1129/$F$1129*$F$1139,2)</f>
        <v>0</v>
      </c>
      <c r="P1139" s="410">
        <f>ROUND(P1129/$F$1129*$F$1139,2)</f>
        <v>80975589.620000005</v>
      </c>
      <c r="Q1139" s="410">
        <f>ROUND(Q1129/$F$1129*$F$1139,2)</f>
        <v>0</v>
      </c>
      <c r="R1139" s="410">
        <f>ROUND(R1129/$F$1129*$F$1139,2)</f>
        <v>0</v>
      </c>
      <c r="S1139" s="410"/>
      <c r="T1139" s="73">
        <f t="shared" si="435"/>
        <v>80975589.620000005</v>
      </c>
      <c r="U1139" s="61" t="str">
        <f t="shared" si="436"/>
        <v>ok</v>
      </c>
      <c r="V1139" s="473" t="str">
        <f t="shared" si="437"/>
        <v/>
      </c>
    </row>
    <row r="1140" spans="1:22" ht="12" customHeight="1" x14ac:dyDescent="0.2">
      <c r="A1140" s="55" t="s">
        <v>690</v>
      </c>
      <c r="D1140" s="55" t="s">
        <v>696</v>
      </c>
      <c r="F1140" s="470">
        <v>679917</v>
      </c>
      <c r="G1140" s="73">
        <f>G1137</f>
        <v>419902</v>
      </c>
      <c r="H1140" s="73">
        <f t="shared" ref="H1140:R1140" si="439">H1137</f>
        <v>82069</v>
      </c>
      <c r="I1140" s="73">
        <f>I1137</f>
        <v>643</v>
      </c>
      <c r="J1140" s="73">
        <f t="shared" si="439"/>
        <v>5627</v>
      </c>
      <c r="K1140" s="73">
        <f t="shared" si="439"/>
        <v>298</v>
      </c>
      <c r="L1140" s="73">
        <f t="shared" si="439"/>
        <v>137</v>
      </c>
      <c r="M1140" s="73">
        <f>M1137</f>
        <v>167</v>
      </c>
      <c r="N1140" s="73">
        <f>N1137</f>
        <v>35</v>
      </c>
      <c r="O1140" s="73">
        <f t="shared" si="439"/>
        <v>1</v>
      </c>
      <c r="P1140" s="73">
        <f t="shared" si="439"/>
        <v>170307</v>
      </c>
      <c r="Q1140" s="73">
        <f t="shared" si="439"/>
        <v>11</v>
      </c>
      <c r="R1140" s="73">
        <f t="shared" si="439"/>
        <v>720</v>
      </c>
      <c r="S1140" s="73"/>
      <c r="T1140" s="73">
        <f t="shared" si="435"/>
        <v>679917</v>
      </c>
      <c r="U1140" s="61" t="str">
        <f t="shared" si="436"/>
        <v>ok</v>
      </c>
      <c r="V1140" s="62" t="str">
        <f t="shared" si="437"/>
        <v/>
      </c>
    </row>
    <row r="1141" spans="1:22" ht="12" customHeight="1" x14ac:dyDescent="0.2">
      <c r="A1141" s="55" t="s">
        <v>691</v>
      </c>
      <c r="D1141" s="55" t="s">
        <v>697</v>
      </c>
      <c r="F1141" s="73">
        <v>527883</v>
      </c>
      <c r="G1141" s="73">
        <f t="shared" ref="G1141:N1141" si="440">G1137</f>
        <v>419902</v>
      </c>
      <c r="H1141" s="73">
        <f t="shared" si="440"/>
        <v>82069</v>
      </c>
      <c r="I1141" s="73">
        <f t="shared" si="440"/>
        <v>643</v>
      </c>
      <c r="J1141" s="73">
        <f t="shared" si="440"/>
        <v>5627</v>
      </c>
      <c r="K1141" s="73">
        <f t="shared" si="440"/>
        <v>298</v>
      </c>
      <c r="L1141" s="73">
        <f t="shared" si="440"/>
        <v>137</v>
      </c>
      <c r="M1141" s="73">
        <f t="shared" si="440"/>
        <v>167</v>
      </c>
      <c r="N1141" s="73">
        <f t="shared" si="440"/>
        <v>35</v>
      </c>
      <c r="O1141" s="73">
        <f>ROUND(O1137,0)</f>
        <v>1</v>
      </c>
      <c r="P1141" s="73">
        <f>ROUND(P1137/9,0)</f>
        <v>18923</v>
      </c>
      <c r="Q1141" s="73">
        <f>ROUND(Q1137/9,0)</f>
        <v>1</v>
      </c>
      <c r="R1141" s="73">
        <f>ROUND(R1137/9,0)</f>
        <v>80</v>
      </c>
      <c r="S1141" s="410"/>
      <c r="T1141" s="73">
        <f t="shared" si="435"/>
        <v>527883</v>
      </c>
      <c r="U1141" s="61" t="str">
        <f t="shared" si="436"/>
        <v>ok</v>
      </c>
      <c r="V1141" s="62" t="str">
        <f t="shared" si="437"/>
        <v/>
      </c>
    </row>
    <row r="1142" spans="1:22" ht="12" customHeight="1" x14ac:dyDescent="0.2">
      <c r="A1142" s="55" t="s">
        <v>692</v>
      </c>
      <c r="D1142" s="55" t="s">
        <v>698</v>
      </c>
      <c r="F1142" s="73">
        <v>527382</v>
      </c>
      <c r="G1142" s="73">
        <f>G1141</f>
        <v>419902</v>
      </c>
      <c r="H1142" s="73">
        <f>H1141</f>
        <v>82069</v>
      </c>
      <c r="I1142" s="73">
        <f>I1141</f>
        <v>643</v>
      </c>
      <c r="J1142" s="73">
        <f>J1141</f>
        <v>5627</v>
      </c>
      <c r="K1142" s="73">
        <v>0</v>
      </c>
      <c r="L1142" s="73">
        <f>L1143</f>
        <v>137</v>
      </c>
      <c r="M1142" s="73">
        <v>0</v>
      </c>
      <c r="N1142" s="73">
        <v>0</v>
      </c>
      <c r="O1142" s="73">
        <v>0</v>
      </c>
      <c r="P1142" s="73">
        <f>P1141</f>
        <v>18923</v>
      </c>
      <c r="Q1142" s="73">
        <f>Q1141</f>
        <v>1</v>
      </c>
      <c r="R1142" s="73">
        <f>R1141</f>
        <v>80</v>
      </c>
      <c r="S1142" s="410"/>
      <c r="T1142" s="73">
        <f t="shared" si="435"/>
        <v>527382</v>
      </c>
      <c r="U1142" s="61" t="str">
        <f t="shared" si="436"/>
        <v>ok</v>
      </c>
      <c r="V1142" s="62" t="str">
        <f t="shared" si="437"/>
        <v/>
      </c>
    </row>
    <row r="1143" spans="1:22" ht="12" customHeight="1" x14ac:dyDescent="0.2">
      <c r="A1143" s="55" t="s">
        <v>693</v>
      </c>
      <c r="D1143" s="55" t="s">
        <v>699</v>
      </c>
      <c r="F1143" s="73">
        <v>527847</v>
      </c>
      <c r="G1143" s="73">
        <f>+G1142</f>
        <v>419902</v>
      </c>
      <c r="H1143" s="73">
        <f>+H1142</f>
        <v>82069</v>
      </c>
      <c r="I1143" s="73">
        <f>+I1142</f>
        <v>643</v>
      </c>
      <c r="J1143" s="73">
        <f>+J1142</f>
        <v>5627</v>
      </c>
      <c r="K1143" s="73">
        <f>+K1140</f>
        <v>298</v>
      </c>
      <c r="L1143" s="73">
        <f>+L1140</f>
        <v>137</v>
      </c>
      <c r="M1143" s="73">
        <f>M1141</f>
        <v>167</v>
      </c>
      <c r="N1143" s="73">
        <v>0</v>
      </c>
      <c r="O1143" s="73">
        <v>0</v>
      </c>
      <c r="P1143" s="73">
        <f>+P1142</f>
        <v>18923</v>
      </c>
      <c r="Q1143" s="73">
        <f>+Q1142</f>
        <v>1</v>
      </c>
      <c r="R1143" s="73">
        <f>+R1142</f>
        <v>80</v>
      </c>
      <c r="S1143" s="73"/>
      <c r="T1143" s="73">
        <f t="shared" si="435"/>
        <v>527847</v>
      </c>
      <c r="U1143" s="61" t="str">
        <f t="shared" si="436"/>
        <v>ok</v>
      </c>
      <c r="V1143" s="62" t="str">
        <f t="shared" si="437"/>
        <v/>
      </c>
    </row>
    <row r="1144" spans="1:22" ht="12" customHeight="1" x14ac:dyDescent="0.2">
      <c r="F1144" s="73"/>
      <c r="G1144" s="73"/>
      <c r="H1144" s="73"/>
      <c r="I1144" s="73"/>
      <c r="J1144" s="73"/>
      <c r="K1144" s="73"/>
      <c r="L1144" s="73"/>
      <c r="M1144" s="73"/>
      <c r="N1144" s="73"/>
      <c r="O1144" s="73"/>
      <c r="P1144" s="73"/>
      <c r="Q1144" s="73"/>
      <c r="R1144" s="410"/>
      <c r="S1144" s="410"/>
      <c r="T1144" s="73"/>
      <c r="U1144" s="61"/>
    </row>
    <row r="1145" spans="1:22" ht="12" customHeight="1" x14ac:dyDescent="0.2">
      <c r="A1145" s="402" t="s">
        <v>943</v>
      </c>
    </row>
    <row r="1146" spans="1:22" ht="12" customHeight="1" x14ac:dyDescent="0.2">
      <c r="A1146" s="55" t="s">
        <v>1170</v>
      </c>
      <c r="D1146" s="55" t="s">
        <v>612</v>
      </c>
      <c r="F1146" s="73">
        <v>4319250.8561973562</v>
      </c>
      <c r="G1146" s="73">
        <f>'Billing Det'!K8+G1156</f>
        <v>1750710.9391159606</v>
      </c>
      <c r="H1146" s="73">
        <f>'Billing Det'!K10+H1156</f>
        <v>536735.11271799891</v>
      </c>
      <c r="I1146" s="73">
        <f>'Billing Det'!K12+I1156</f>
        <v>50545.593168005129</v>
      </c>
      <c r="J1146" s="73">
        <f>'Billing Det'!K14+J1156</f>
        <v>592690.16649659525</v>
      </c>
      <c r="K1146" s="73">
        <f>'Billing Det'!K16+K1156</f>
        <v>147809.49846193512</v>
      </c>
      <c r="L1146" s="73">
        <f>'Billing Det'!K18+L1156</f>
        <v>87667.045510351949</v>
      </c>
      <c r="M1146" s="73">
        <f>'Billing Det'!K20+'Billing Det'!K22+M1156</f>
        <v>674181.0152257072</v>
      </c>
      <c r="N1146" s="73">
        <f>'Billing Det'!K26+N1156</f>
        <v>276057.04985697678</v>
      </c>
      <c r="O1146" s="73">
        <f>'Billing Det'!K28+O1156</f>
        <v>172873.78523231181</v>
      </c>
      <c r="P1146" s="73">
        <f>'Billing Det'!K30+P1156</f>
        <v>29823.118398114009</v>
      </c>
      <c r="Q1146" s="73">
        <f>'Billing Det'!K32+Q1156</f>
        <v>9.6992001621569948</v>
      </c>
      <c r="R1146" s="73">
        <f>'Billing Det'!K34+R1156</f>
        <v>147.83281323705341</v>
      </c>
      <c r="S1146" s="73"/>
      <c r="T1146" s="73">
        <f t="shared" ref="T1146:T1151" si="441">SUM(G1146:R1146)</f>
        <v>4319250.8561973553</v>
      </c>
      <c r="U1146" s="61" t="str">
        <f t="shared" ref="U1146:U1151" si="442">IF(ABS(F1146-T1146)&lt;0.01,"ok","err")</f>
        <v>ok</v>
      </c>
      <c r="V1146" s="62" t="str">
        <f t="shared" ref="V1146:V1152" si="443">IF(U1146="err",T1146-F1146,"")</f>
        <v/>
      </c>
    </row>
    <row r="1147" spans="1:22" ht="12" customHeight="1" x14ac:dyDescent="0.2">
      <c r="A1147" s="55" t="s">
        <v>2727</v>
      </c>
      <c r="D1147" s="55" t="s">
        <v>2729</v>
      </c>
      <c r="F1147" s="73">
        <v>3870320.0211080676</v>
      </c>
      <c r="G1147" s="73">
        <f t="shared" ref="G1147:M1147" si="444">G1146</f>
        <v>1750710.9391159606</v>
      </c>
      <c r="H1147" s="73">
        <f t="shared" si="444"/>
        <v>536735.11271799891</v>
      </c>
      <c r="I1147" s="73">
        <f t="shared" si="444"/>
        <v>50545.593168005129</v>
      </c>
      <c r="J1147" s="73">
        <f t="shared" si="444"/>
        <v>592690.16649659525</v>
      </c>
      <c r="K1147" s="73">
        <f t="shared" si="444"/>
        <v>147809.49846193512</v>
      </c>
      <c r="L1147" s="73">
        <f t="shared" si="444"/>
        <v>87667.045510351949</v>
      </c>
      <c r="M1147" s="73">
        <f t="shared" si="444"/>
        <v>674181.0152257072</v>
      </c>
      <c r="N1147" s="73">
        <v>0</v>
      </c>
      <c r="O1147" s="73">
        <v>0</v>
      </c>
      <c r="P1147" s="73">
        <f t="shared" ref="P1147:R1148" si="445">P1146</f>
        <v>29823.118398114009</v>
      </c>
      <c r="Q1147" s="73">
        <f t="shared" si="445"/>
        <v>9.6992001621569948</v>
      </c>
      <c r="R1147" s="73">
        <f t="shared" si="445"/>
        <v>147.83281323705341</v>
      </c>
      <c r="S1147" s="73"/>
      <c r="T1147" s="73">
        <f t="shared" si="441"/>
        <v>3870320.0211080676</v>
      </c>
      <c r="U1147" s="61" t="str">
        <f t="shared" si="442"/>
        <v>ok</v>
      </c>
      <c r="V1147" s="62" t="str">
        <f t="shared" si="443"/>
        <v/>
      </c>
    </row>
    <row r="1148" spans="1:22" ht="12" customHeight="1" x14ac:dyDescent="0.2">
      <c r="A1148" s="55" t="s">
        <v>2728</v>
      </c>
      <c r="D1148" s="55" t="s">
        <v>2730</v>
      </c>
      <c r="F1148" s="73">
        <v>3870320.0211080676</v>
      </c>
      <c r="G1148" s="73">
        <f t="shared" ref="G1148:M1148" si="446">G1147</f>
        <v>1750710.9391159606</v>
      </c>
      <c r="H1148" s="73">
        <f t="shared" si="446"/>
        <v>536735.11271799891</v>
      </c>
      <c r="I1148" s="73">
        <f t="shared" si="446"/>
        <v>50545.593168005129</v>
      </c>
      <c r="J1148" s="73">
        <f t="shared" si="446"/>
        <v>592690.16649659525</v>
      </c>
      <c r="K1148" s="73">
        <f t="shared" si="446"/>
        <v>147809.49846193512</v>
      </c>
      <c r="L1148" s="73">
        <f t="shared" si="446"/>
        <v>87667.045510351949</v>
      </c>
      <c r="M1148" s="73">
        <f t="shared" si="446"/>
        <v>674181.0152257072</v>
      </c>
      <c r="N1148" s="73">
        <v>0</v>
      </c>
      <c r="O1148" s="73">
        <v>0</v>
      </c>
      <c r="P1148" s="73">
        <f t="shared" si="445"/>
        <v>29823.118398114009</v>
      </c>
      <c r="Q1148" s="73">
        <f t="shared" si="445"/>
        <v>9.6992001621569948</v>
      </c>
      <c r="R1148" s="73">
        <f t="shared" si="445"/>
        <v>147.83281323705341</v>
      </c>
      <c r="S1148" s="73"/>
      <c r="T1148" s="73">
        <f t="shared" si="441"/>
        <v>3870320.0211080676</v>
      </c>
      <c r="U1148" s="61" t="str">
        <f t="shared" si="442"/>
        <v>ok</v>
      </c>
      <c r="V1148" s="62" t="str">
        <f t="shared" si="443"/>
        <v/>
      </c>
    </row>
    <row r="1149" spans="1:22" ht="12" customHeight="1" x14ac:dyDescent="0.2">
      <c r="A1149" s="55" t="s">
        <v>910</v>
      </c>
      <c r="D1149" s="55" t="s">
        <v>909</v>
      </c>
      <c r="F1149" s="73">
        <v>5887377.3433260927</v>
      </c>
      <c r="G1149" s="73">
        <f>'Billing Det'!O8+G1155</f>
        <v>4032454.3175169225</v>
      </c>
      <c r="H1149" s="73">
        <f>'Billing Det'!O10+H1155</f>
        <v>937054.50585045211</v>
      </c>
      <c r="I1149" s="73">
        <f>'Billing Det'!O12+I1155</f>
        <v>55019.221739734734</v>
      </c>
      <c r="J1149" s="73">
        <f>'Billing Det'!O14+J1155</f>
        <v>723486.75192446948</v>
      </c>
      <c r="K1149" s="73">
        <v>0</v>
      </c>
      <c r="L1149" s="73">
        <f>'Billing Det'!O18+L1155</f>
        <v>109367.39315717285</v>
      </c>
      <c r="M1149" s="73">
        <v>0</v>
      </c>
      <c r="N1149" s="73">
        <v>0</v>
      </c>
      <c r="O1149" s="73">
        <f>O1147</f>
        <v>0</v>
      </c>
      <c r="P1149" s="73">
        <f>P1147+P1155</f>
        <v>29823.118398114009</v>
      </c>
      <c r="Q1149" s="73">
        <f>Q1147+Q1155</f>
        <v>9.6992001621569948</v>
      </c>
      <c r="R1149" s="73">
        <f>R1147+R1155</f>
        <v>162.33553906502456</v>
      </c>
      <c r="S1149" s="73"/>
      <c r="T1149" s="73">
        <f t="shared" si="441"/>
        <v>5887377.3433260927</v>
      </c>
      <c r="U1149" s="61" t="str">
        <f t="shared" si="442"/>
        <v>ok</v>
      </c>
      <c r="V1149" s="62" t="str">
        <f t="shared" si="443"/>
        <v/>
      </c>
    </row>
    <row r="1150" spans="1:22" ht="12" customHeight="1" x14ac:dyDescent="0.2">
      <c r="A1150" s="55" t="s">
        <v>1474</v>
      </c>
      <c r="D1150" s="55" t="s">
        <v>656</v>
      </c>
      <c r="F1150" s="73">
        <v>3516646.9613307868</v>
      </c>
      <c r="G1150" s="73">
        <f>'Billing Det'!N8+G1157</f>
        <v>1400032.9662856022</v>
      </c>
      <c r="H1150" s="73">
        <f>'Billing Det'!N10+H1157</f>
        <v>424931.39322003158</v>
      </c>
      <c r="I1150" s="73">
        <f>'Billing Det'!N12+I1157</f>
        <v>24265.937846432738</v>
      </c>
      <c r="J1150" s="73">
        <f>'Billing Det'!N14+J1157</f>
        <v>551194.93137144879</v>
      </c>
      <c r="K1150" s="73">
        <f>'Billing Det'!N16+K1157</f>
        <v>139563.37084609055</v>
      </c>
      <c r="L1150" s="73">
        <f>'Billing Det'!N18+L1157</f>
        <v>86246.902519651398</v>
      </c>
      <c r="M1150" s="73">
        <f>'Billing Det'!N20+'Billing Det'!N22+M1157</f>
        <v>573740.86223363748</v>
      </c>
      <c r="N1150" s="73">
        <f>'Billing Det'!N26+N1157</f>
        <v>241657.018820636</v>
      </c>
      <c r="O1150" s="73">
        <f>'Billing Det'!N28+O1157</f>
        <v>74880.248099847784</v>
      </c>
      <c r="P1150" s="73">
        <f>'Billing Det'!N30+P1157</f>
        <v>0</v>
      </c>
      <c r="Q1150" s="73">
        <f>'Billing Det'!N32+Q1157</f>
        <v>0</v>
      </c>
      <c r="R1150" s="73">
        <f>'Billing Det'!N34+R1157</f>
        <v>133.33008740908227</v>
      </c>
      <c r="S1150" s="73"/>
      <c r="T1150" s="73">
        <f t="shared" si="441"/>
        <v>3516646.9613307868</v>
      </c>
      <c r="U1150" s="61" t="str">
        <f t="shared" si="442"/>
        <v>ok</v>
      </c>
      <c r="V1150" s="62" t="str">
        <f t="shared" si="443"/>
        <v/>
      </c>
    </row>
    <row r="1151" spans="1:22" ht="12" customHeight="1" x14ac:dyDescent="0.2">
      <c r="A1151" s="55" t="s">
        <v>1475</v>
      </c>
      <c r="D1151" s="55" t="s">
        <v>657</v>
      </c>
      <c r="F1151" s="73">
        <v>3439501.6738748951</v>
      </c>
      <c r="G1151" s="73">
        <f>'Billing Det'!M8+G1158</f>
        <v>1570811.1553101251</v>
      </c>
      <c r="H1151" s="73">
        <f>'Billing Det'!M10+H1158</f>
        <v>433803.33889777696</v>
      </c>
      <c r="I1151" s="73">
        <f>'Billing Det'!M12+I1158</f>
        <v>29246.348785063157</v>
      </c>
      <c r="J1151" s="73">
        <f>'Billing Det'!M14+J1158</f>
        <v>435872.19617351866</v>
      </c>
      <c r="K1151" s="73">
        <f>'Billing Det'!M16+K1158</f>
        <v>96787.579454161285</v>
      </c>
      <c r="L1151" s="73">
        <f>'Billing Det'!M18+L1158</f>
        <v>64824.610640923631</v>
      </c>
      <c r="M1151" s="73">
        <f>'Billing Det'!M20+'Billing Det'!M22+M1158</f>
        <v>519768.31462780526</v>
      </c>
      <c r="N1151" s="73">
        <f>'Billing Det'!M26+N1158</f>
        <v>231576.57849974124</v>
      </c>
      <c r="O1151" s="73">
        <f>'Billing Det'!M28+O1158</f>
        <v>56678.221398371366</v>
      </c>
      <c r="P1151" s="73">
        <f>'Billing Det'!M30+P1158</f>
        <v>0</v>
      </c>
      <c r="Q1151" s="73">
        <f>'Billing Det'!M32+Q1158</f>
        <v>0</v>
      </c>
      <c r="R1151" s="73">
        <f>'Billing Det'!M34+R1158</f>
        <v>133.33008740908227</v>
      </c>
      <c r="S1151" s="73"/>
      <c r="T1151" s="73">
        <f t="shared" si="441"/>
        <v>3439501.6738748956</v>
      </c>
      <c r="U1151" s="61" t="str">
        <f t="shared" si="442"/>
        <v>ok</v>
      </c>
      <c r="V1151" s="62" t="str">
        <f t="shared" si="443"/>
        <v/>
      </c>
    </row>
    <row r="1152" spans="1:22" ht="12" customHeight="1" x14ac:dyDescent="0.2">
      <c r="A1152" s="55" t="s">
        <v>1476</v>
      </c>
      <c r="D1152" s="55" t="s">
        <v>1477</v>
      </c>
      <c r="F1152" s="73">
        <v>2199391.83</v>
      </c>
      <c r="G1152" s="73">
        <f t="shared" ref="G1152:M1152" si="447">ROUND(G1122/8784,2)+G1159</f>
        <v>734854.64219178085</v>
      </c>
      <c r="H1152" s="73">
        <f t="shared" si="447"/>
        <v>231912.23940884153</v>
      </c>
      <c r="I1152" s="73">
        <f t="shared" si="447"/>
        <v>19313.928574537069</v>
      </c>
      <c r="J1152" s="73">
        <f t="shared" si="447"/>
        <v>377518.24761580944</v>
      </c>
      <c r="K1152" s="73">
        <f t="shared" si="447"/>
        <v>80507.853662018373</v>
      </c>
      <c r="L1152" s="73">
        <f t="shared" si="447"/>
        <v>61020.558997409622</v>
      </c>
      <c r="M1152" s="73">
        <f t="shared" si="447"/>
        <v>439778.11837135744</v>
      </c>
      <c r="N1152" s="73">
        <f>ROUND(N1122/8784,2)+N1159</f>
        <v>180437.89473988954</v>
      </c>
      <c r="O1152" s="73">
        <f>ROUND(O1122/8784,2)+O1159</f>
        <v>58644.46</v>
      </c>
      <c r="P1152" s="73">
        <f>ROUND(P1122/8784,2)+P1159</f>
        <v>15252.99</v>
      </c>
      <c r="Q1152" s="73">
        <f>ROUND(Q1122/8784,2)+Q1159</f>
        <v>4.96</v>
      </c>
      <c r="R1152" s="73">
        <f>ROUND(R1122/8784,2)+R1159</f>
        <v>145.93643835616439</v>
      </c>
      <c r="S1152" s="73"/>
      <c r="T1152" s="73">
        <f>ROUND(SUM(G1152:R1152),2)</f>
        <v>2199391.83</v>
      </c>
      <c r="U1152" s="61" t="str">
        <f>IF(ABS(F1152-T1152)=0,"ok","err")</f>
        <v>ok</v>
      </c>
      <c r="V1152" s="405" t="str">
        <f t="shared" si="443"/>
        <v/>
      </c>
    </row>
    <row r="1153" spans="1:22" ht="12" customHeight="1" x14ac:dyDescent="0.2">
      <c r="F1153" s="73"/>
      <c r="G1153" s="73"/>
      <c r="H1153" s="73"/>
      <c r="I1153" s="73"/>
      <c r="J1153" s="73"/>
      <c r="K1153" s="73"/>
      <c r="L1153" s="73"/>
      <c r="M1153" s="73"/>
      <c r="N1153" s="73"/>
      <c r="O1153" s="73"/>
      <c r="P1153" s="73"/>
      <c r="Q1153" s="73"/>
      <c r="R1153" s="73"/>
      <c r="S1153" s="73"/>
      <c r="T1153" s="73"/>
      <c r="U1153" s="61"/>
      <c r="V1153" s="405"/>
    </row>
    <row r="1154" spans="1:22" ht="12" customHeight="1" x14ac:dyDescent="0.2">
      <c r="A1154" s="171" t="s">
        <v>2768</v>
      </c>
      <c r="F1154" s="57"/>
      <c r="G1154" s="60"/>
      <c r="H1154" s="60"/>
      <c r="I1154" s="60"/>
      <c r="J1154" s="57"/>
      <c r="K1154" s="73"/>
      <c r="L1154" s="73"/>
      <c r="M1154" s="73"/>
      <c r="N1154" s="73"/>
      <c r="O1154" s="73"/>
      <c r="P1154" s="73"/>
      <c r="Q1154" s="73"/>
      <c r="R1154" s="73"/>
      <c r="S1154" s="73"/>
      <c r="T1154" s="73"/>
      <c r="U1154" s="61"/>
    </row>
    <row r="1155" spans="1:22" ht="12" customHeight="1" x14ac:dyDescent="0.2">
      <c r="A1155" s="55" t="s">
        <v>910</v>
      </c>
      <c r="F1155" s="73">
        <v>0</v>
      </c>
      <c r="G1155" s="73">
        <v>-1978.0180039803599</v>
      </c>
      <c r="H1155" s="73">
        <v>4469.947785187298</v>
      </c>
      <c r="I1155" s="73">
        <v>-438.01584036824772</v>
      </c>
      <c r="J1155" s="73">
        <v>-13726.999999999995</v>
      </c>
      <c r="K1155" s="73">
        <v>-18070.916666666668</v>
      </c>
      <c r="L1155" s="73">
        <v>9603.75</v>
      </c>
      <c r="M1155" s="73">
        <v>20486.966666666667</v>
      </c>
      <c r="N1155" s="73">
        <v>-361.2166666666667</v>
      </c>
      <c r="O1155" s="73">
        <v>0</v>
      </c>
      <c r="P1155" s="73">
        <v>0</v>
      </c>
      <c r="Q1155" s="73">
        <v>0</v>
      </c>
      <c r="R1155" s="73">
        <v>14.502725827971156</v>
      </c>
      <c r="S1155" s="73"/>
      <c r="T1155" s="73">
        <f>ROUND(SUM(G1155:R1155),2)</f>
        <v>0</v>
      </c>
      <c r="U1155" s="61" t="str">
        <f>IF(ABS(F1155-T1155)&lt;0.01,"ok","err")</f>
        <v>ok</v>
      </c>
      <c r="V1155" s="62" t="str">
        <f>IF(U1155="err",T1155-F1155,"")</f>
        <v/>
      </c>
    </row>
    <row r="1156" spans="1:22" ht="12" customHeight="1" x14ac:dyDescent="0.2">
      <c r="A1156" s="55" t="s">
        <v>1170</v>
      </c>
      <c r="F1156" s="73">
        <v>0</v>
      </c>
      <c r="G1156" s="73">
        <v>-1355.8327230127945</v>
      </c>
      <c r="H1156" s="73">
        <v>-1811.3640172445866</v>
      </c>
      <c r="I1156" s="73">
        <v>-270.12168926772733</v>
      </c>
      <c r="J1156" s="73">
        <v>-6025.8372946911823</v>
      </c>
      <c r="K1156" s="73">
        <v>-15060.625143032874</v>
      </c>
      <c r="L1156" s="73">
        <v>7698.2029471077722</v>
      </c>
      <c r="M1156" s="73">
        <v>17112.800126043796</v>
      </c>
      <c r="N1156" s="73">
        <v>-301.72493173037424</v>
      </c>
      <c r="O1156" s="73">
        <v>0</v>
      </c>
      <c r="P1156" s="73">
        <v>0</v>
      </c>
      <c r="Q1156" s="73">
        <v>0</v>
      </c>
      <c r="R1156" s="73">
        <v>14.502725827971156</v>
      </c>
      <c r="S1156" s="73"/>
      <c r="T1156" s="73">
        <f>ROUND(SUM(G1156:R1156),2)</f>
        <v>0</v>
      </c>
      <c r="U1156" s="61" t="str">
        <f>IF(ABS(F1156-T1156)&lt;0.01,"ok","err")</f>
        <v>ok</v>
      </c>
      <c r="V1156" s="62" t="str">
        <f>IF(U1156="err",T1156-F1156,"")</f>
        <v/>
      </c>
    </row>
    <row r="1157" spans="1:22" ht="12" customHeight="1" x14ac:dyDescent="0.2">
      <c r="A1157" s="55" t="s">
        <v>1474</v>
      </c>
      <c r="F1157" s="73">
        <v>0</v>
      </c>
      <c r="G1157" s="73">
        <v>-1076.3602421070439</v>
      </c>
      <c r="H1157" s="73">
        <v>-3619.0980169300929</v>
      </c>
      <c r="I1157" s="73">
        <v>-237.51724565383569</v>
      </c>
      <c r="J1157" s="73">
        <v>-4161.8126830639358</v>
      </c>
      <c r="K1157" s="73">
        <v>-12785.254037776462</v>
      </c>
      <c r="L1157" s="73">
        <v>7573.497604379706</v>
      </c>
      <c r="M1157" s="73">
        <v>14563.318274782974</v>
      </c>
      <c r="N1157" s="73">
        <v>-256.77365363130986</v>
      </c>
      <c r="O1157" s="73">
        <v>0</v>
      </c>
      <c r="P1157" s="73">
        <v>0</v>
      </c>
      <c r="Q1157" s="73">
        <v>0</v>
      </c>
      <c r="R1157" s="73">
        <v>0</v>
      </c>
      <c r="S1157" s="73"/>
      <c r="T1157" s="73">
        <f>ROUND(SUM(G1157:R1157),2)</f>
        <v>0</v>
      </c>
      <c r="U1157" s="61" t="str">
        <f>IF(ABS(F1157-T1157)&lt;0.01,"ok","err")</f>
        <v>ok</v>
      </c>
      <c r="V1157" s="62" t="str">
        <f>IF(U1157="err",T1157-F1157,"")</f>
        <v/>
      </c>
    </row>
    <row r="1158" spans="1:22" ht="12" customHeight="1" x14ac:dyDescent="0.2">
      <c r="A1158" s="55" t="s">
        <v>1475</v>
      </c>
      <c r="F1158" s="73">
        <v>0</v>
      </c>
      <c r="G1158" s="73">
        <v>-1034.4327121344613</v>
      </c>
      <c r="H1158" s="73">
        <v>-442.91437982111711</v>
      </c>
      <c r="I1158" s="73">
        <v>-217.87516808486836</v>
      </c>
      <c r="J1158" s="73">
        <v>-5268.5831044331644</v>
      </c>
      <c r="K1158" s="73">
        <v>-11689.271169720709</v>
      </c>
      <c r="L1158" s="73">
        <v>5692.3671349474771</v>
      </c>
      <c r="M1158" s="73">
        <v>13193.328021997859</v>
      </c>
      <c r="N1158" s="73">
        <v>-232.61862275101697</v>
      </c>
      <c r="O1158" s="73">
        <v>0</v>
      </c>
      <c r="P1158" s="73">
        <v>0</v>
      </c>
      <c r="Q1158" s="73">
        <v>0</v>
      </c>
      <c r="R1158" s="73">
        <v>0</v>
      </c>
      <c r="S1158" s="73"/>
      <c r="T1158" s="73">
        <f>ROUND(SUM(G1158:R1158),2)</f>
        <v>0</v>
      </c>
      <c r="U1158" s="61" t="str">
        <f>IF(ABS(F1158-T1158)&lt;0.01,"ok","err")</f>
        <v>ok</v>
      </c>
      <c r="V1158" s="62" t="str">
        <f>IF(U1158="err",T1158-F1158,"")</f>
        <v/>
      </c>
    </row>
    <row r="1159" spans="1:22" ht="12" customHeight="1" x14ac:dyDescent="0.2">
      <c r="A1159" s="55" t="s">
        <v>1476</v>
      </c>
      <c r="F1159" s="73">
        <v>0</v>
      </c>
      <c r="G1159" s="73">
        <v>-622.51780821917805</v>
      </c>
      <c r="H1159" s="73">
        <v>-3506.4905911584765</v>
      </c>
      <c r="I1159" s="73">
        <v>-141.03142546293066</v>
      </c>
      <c r="J1159" s="73">
        <v>-1445.6223841905821</v>
      </c>
      <c r="K1159" s="73">
        <v>-6143.8763379816191</v>
      </c>
      <c r="L1159" s="73">
        <v>4920.6889974096202</v>
      </c>
      <c r="M1159" s="73">
        <v>7055.8383713574385</v>
      </c>
      <c r="N1159" s="73">
        <v>-124.40526011043588</v>
      </c>
      <c r="O1159" s="73">
        <v>0</v>
      </c>
      <c r="P1159" s="73">
        <v>0</v>
      </c>
      <c r="Q1159" s="73">
        <v>0</v>
      </c>
      <c r="R1159" s="73">
        <v>7.4164383561643827</v>
      </c>
      <c r="S1159" s="73"/>
      <c r="T1159" s="73">
        <f>ROUND(SUM(G1159:R1159),2)</f>
        <v>0</v>
      </c>
      <c r="U1159" s="61" t="str">
        <f>IF(ABS(F1159-T1159)=0,"ok","err")</f>
        <v>ok</v>
      </c>
      <c r="V1159" s="405" t="str">
        <f>IF(U1159="err",T1159-F1159,"")</f>
        <v/>
      </c>
    </row>
    <row r="1160" spans="1:22" ht="12" customHeight="1" x14ac:dyDescent="0.2">
      <c r="F1160" s="57"/>
      <c r="G1160" s="60"/>
      <c r="H1160" s="60"/>
      <c r="I1160" s="60"/>
      <c r="J1160" s="60"/>
      <c r="K1160" s="60"/>
      <c r="L1160" s="60"/>
      <c r="M1160" s="60"/>
      <c r="N1160" s="60"/>
      <c r="O1160" s="60"/>
      <c r="P1160" s="60"/>
      <c r="Q1160" s="60"/>
      <c r="R1160" s="60"/>
      <c r="S1160" s="60"/>
      <c r="T1160" s="60"/>
      <c r="U1160" s="61"/>
    </row>
    <row r="1161" spans="1:22" ht="12" customHeight="1" x14ac:dyDescent="0.2">
      <c r="A1161" s="474" t="s">
        <v>1008</v>
      </c>
      <c r="F1161" s="57"/>
      <c r="G1161" s="60"/>
      <c r="H1161" s="60"/>
      <c r="I1161" s="60"/>
      <c r="J1161" s="60"/>
      <c r="K1161" s="60"/>
      <c r="L1161" s="60"/>
      <c r="M1161" s="60"/>
      <c r="N1161" s="60"/>
      <c r="O1161" s="60"/>
      <c r="P1161" s="60"/>
      <c r="Q1161" s="60"/>
      <c r="R1161" s="60"/>
      <c r="S1161" s="60"/>
      <c r="T1161" s="60"/>
      <c r="U1161" s="61"/>
    </row>
    <row r="1162" spans="1:22" ht="12" customHeight="1" x14ac:dyDescent="0.2">
      <c r="A1162" s="55" t="s">
        <v>1088</v>
      </c>
      <c r="D1162" s="55" t="s">
        <v>57</v>
      </c>
      <c r="F1162" s="73">
        <f>F1151</f>
        <v>3439501.6738748951</v>
      </c>
      <c r="G1162" s="73">
        <f>G1151</f>
        <v>1570811.1553101251</v>
      </c>
      <c r="H1162" s="73">
        <f t="shared" ref="H1162:R1162" si="448">H1151</f>
        <v>433803.33889777696</v>
      </c>
      <c r="I1162" s="73">
        <f>I1151</f>
        <v>29246.348785063157</v>
      </c>
      <c r="J1162" s="73">
        <f t="shared" si="448"/>
        <v>435872.19617351866</v>
      </c>
      <c r="K1162" s="73">
        <f t="shared" si="448"/>
        <v>96787.579454161285</v>
      </c>
      <c r="L1162" s="73">
        <f t="shared" si="448"/>
        <v>64824.610640923631</v>
      </c>
      <c r="M1162" s="73">
        <f>M1151</f>
        <v>519768.31462780526</v>
      </c>
      <c r="N1162" s="73">
        <f>N1151</f>
        <v>231576.57849974124</v>
      </c>
      <c r="O1162" s="73">
        <f t="shared" si="448"/>
        <v>56678.221398371366</v>
      </c>
      <c r="P1162" s="73">
        <f t="shared" si="448"/>
        <v>0</v>
      </c>
      <c r="Q1162" s="73">
        <f t="shared" si="448"/>
        <v>0</v>
      </c>
      <c r="R1162" s="73">
        <f t="shared" si="448"/>
        <v>133.33008740908227</v>
      </c>
      <c r="S1162" s="73"/>
      <c r="T1162" s="73">
        <f>SUM(G1162:R1162)</f>
        <v>3439501.6738748956</v>
      </c>
      <c r="U1162" s="61" t="str">
        <f t="shared" ref="U1162:U1167" si="449">IF(ABS(F1162-T1162)&lt;0.01,"ok","err")</f>
        <v>ok</v>
      </c>
      <c r="V1162" s="62" t="str">
        <f t="shared" ref="V1162:V1167" si="450">IF(U1162="err",T1162-F1162,"")</f>
        <v/>
      </c>
    </row>
    <row r="1163" spans="1:22" ht="12" customHeight="1" x14ac:dyDescent="0.2">
      <c r="A1163" s="55" t="s">
        <v>1089</v>
      </c>
      <c r="F1163" s="62">
        <f t="shared" ref="F1163:R1163" si="451">F181</f>
        <v>29353480.623651043</v>
      </c>
      <c r="G1163" s="62">
        <f t="shared" si="451"/>
        <v>13405655.581165964</v>
      </c>
      <c r="H1163" s="62">
        <f t="shared" si="451"/>
        <v>3702175.2306535393</v>
      </c>
      <c r="I1163" s="62">
        <f t="shared" si="451"/>
        <v>249594.91629138752</v>
      </c>
      <c r="J1163" s="62">
        <f t="shared" si="451"/>
        <v>3719831.3238073383</v>
      </c>
      <c r="K1163" s="62">
        <f t="shared" si="451"/>
        <v>826006.96481624874</v>
      </c>
      <c r="L1163" s="62">
        <f t="shared" si="451"/>
        <v>553227.80239858862</v>
      </c>
      <c r="M1163" s="62">
        <f t="shared" si="451"/>
        <v>4435819.6619298933</v>
      </c>
      <c r="N1163" s="62">
        <f t="shared" si="451"/>
        <v>1976326.5886786154</v>
      </c>
      <c r="O1163" s="62">
        <f t="shared" si="451"/>
        <v>483704.68496553833</v>
      </c>
      <c r="P1163" s="62">
        <f t="shared" si="451"/>
        <v>0</v>
      </c>
      <c r="Q1163" s="62">
        <f t="shared" si="451"/>
        <v>0</v>
      </c>
      <c r="R1163" s="62">
        <f t="shared" si="451"/>
        <v>1137.8689439342745</v>
      </c>
      <c r="S1163" s="62"/>
      <c r="T1163" s="62">
        <f>F1163</f>
        <v>29353480.623651043</v>
      </c>
      <c r="U1163" s="61" t="str">
        <f t="shared" si="449"/>
        <v>ok</v>
      </c>
      <c r="V1163" s="62" t="str">
        <f t="shared" si="450"/>
        <v/>
      </c>
    </row>
    <row r="1164" spans="1:22" ht="12" customHeight="1" x14ac:dyDescent="0.2">
      <c r="A1164" s="55" t="s">
        <v>1116</v>
      </c>
      <c r="F1164" s="62">
        <v>0</v>
      </c>
      <c r="H1164" s="73">
        <v>0</v>
      </c>
      <c r="I1164" s="55">
        <v>0</v>
      </c>
      <c r="J1164" s="73">
        <v>0</v>
      </c>
      <c r="K1164" s="73">
        <v>0</v>
      </c>
      <c r="L1164" s="410">
        <v>0</v>
      </c>
      <c r="M1164" s="73">
        <v>0</v>
      </c>
      <c r="N1164" s="73">
        <v>0</v>
      </c>
      <c r="O1164" s="73">
        <v>0</v>
      </c>
      <c r="P1164" s="73">
        <v>0</v>
      </c>
      <c r="T1164" s="62">
        <f>SUM(G1164:R1164)</f>
        <v>0</v>
      </c>
      <c r="U1164" s="61" t="str">
        <f t="shared" si="449"/>
        <v>ok</v>
      </c>
      <c r="V1164" s="62" t="str">
        <f t="shared" si="450"/>
        <v/>
      </c>
    </row>
    <row r="1165" spans="1:22" ht="12" customHeight="1" x14ac:dyDescent="0.2">
      <c r="A1165" s="55" t="s">
        <v>1478</v>
      </c>
      <c r="E1165" s="55" t="s">
        <v>57</v>
      </c>
      <c r="F1165" s="62">
        <f>F1163-F1164</f>
        <v>29353480.623651043</v>
      </c>
      <c r="G1165" s="404">
        <f t="shared" ref="G1165:R1165" si="452">IF(VLOOKUP($E1165,$D$5:$AH$1237,3,)=0,0,(VLOOKUP($E1165,$D$5:$AH$1237,G$1,)/VLOOKUP($E1165,$D$5:$AH$1237,3,))*$F1165)</f>
        <v>13405655.581165964</v>
      </c>
      <c r="H1165" s="404">
        <f t="shared" si="452"/>
        <v>3702175.2306535393</v>
      </c>
      <c r="I1165" s="404">
        <f t="shared" si="452"/>
        <v>249594.91629138752</v>
      </c>
      <c r="J1165" s="404">
        <f t="shared" si="452"/>
        <v>3719831.3238073383</v>
      </c>
      <c r="K1165" s="404">
        <f t="shared" si="452"/>
        <v>826006.96481624874</v>
      </c>
      <c r="L1165" s="404">
        <f t="shared" si="452"/>
        <v>553227.80239858862</v>
      </c>
      <c r="M1165" s="404">
        <f t="shared" si="452"/>
        <v>4435819.6619298933</v>
      </c>
      <c r="N1165" s="404">
        <f t="shared" si="452"/>
        <v>1976326.5886786154</v>
      </c>
      <c r="O1165" s="404">
        <f t="shared" si="452"/>
        <v>483704.68496553833</v>
      </c>
      <c r="P1165" s="404">
        <f t="shared" si="452"/>
        <v>0</v>
      </c>
      <c r="Q1165" s="404">
        <f t="shared" si="452"/>
        <v>0</v>
      </c>
      <c r="R1165" s="404">
        <f t="shared" si="452"/>
        <v>1137.8689439342745</v>
      </c>
      <c r="S1165" s="404"/>
      <c r="T1165" s="62">
        <f>SUM(G1165:R1165)</f>
        <v>29353480.623651046</v>
      </c>
      <c r="U1165" s="61" t="str">
        <f t="shared" si="449"/>
        <v>ok</v>
      </c>
      <c r="V1165" s="62" t="str">
        <f t="shared" si="450"/>
        <v/>
      </c>
    </row>
    <row r="1166" spans="1:22" ht="12" customHeight="1" x14ac:dyDescent="0.2">
      <c r="A1166" s="55" t="s">
        <v>1479</v>
      </c>
      <c r="D1166" s="55" t="s">
        <v>58</v>
      </c>
      <c r="F1166" s="62">
        <f t="shared" ref="F1166:R1166" si="453">F1164+F1165</f>
        <v>29353480.623651043</v>
      </c>
      <c r="G1166" s="62">
        <f t="shared" si="453"/>
        <v>13405655.581165964</v>
      </c>
      <c r="H1166" s="62">
        <f t="shared" si="453"/>
        <v>3702175.2306535393</v>
      </c>
      <c r="I1166" s="62">
        <f>I1164+I1165</f>
        <v>249594.91629138752</v>
      </c>
      <c r="J1166" s="62">
        <f t="shared" si="453"/>
        <v>3719831.3238073383</v>
      </c>
      <c r="K1166" s="62">
        <f t="shared" si="453"/>
        <v>826006.96481624874</v>
      </c>
      <c r="L1166" s="62">
        <f t="shared" si="453"/>
        <v>553227.80239858862</v>
      </c>
      <c r="M1166" s="62">
        <f t="shared" si="453"/>
        <v>4435819.6619298933</v>
      </c>
      <c r="N1166" s="62">
        <f>N1164+N1165</f>
        <v>1976326.5886786154</v>
      </c>
      <c r="O1166" s="62">
        <f t="shared" si="453"/>
        <v>483704.68496553833</v>
      </c>
      <c r="P1166" s="62">
        <f t="shared" si="453"/>
        <v>0</v>
      </c>
      <c r="Q1166" s="62">
        <f t="shared" si="453"/>
        <v>0</v>
      </c>
      <c r="R1166" s="62">
        <f t="shared" si="453"/>
        <v>1137.8689439342745</v>
      </c>
      <c r="S1166" s="62"/>
      <c r="T1166" s="62">
        <f>SUM(G1166:R1166)</f>
        <v>29353480.623651046</v>
      </c>
      <c r="U1166" s="61" t="str">
        <f t="shared" si="449"/>
        <v>ok</v>
      </c>
      <c r="V1166" s="62" t="str">
        <f t="shared" si="450"/>
        <v/>
      </c>
    </row>
    <row r="1167" spans="1:22" ht="12" customHeight="1" x14ac:dyDescent="0.2">
      <c r="A1167" s="55" t="s">
        <v>1480</v>
      </c>
      <c r="D1167" s="55" t="s">
        <v>59</v>
      </c>
      <c r="E1167" s="55" t="s">
        <v>58</v>
      </c>
      <c r="F1167" s="57">
        <v>1</v>
      </c>
      <c r="G1167" s="60">
        <f t="shared" ref="G1167:R1167" si="454">IF(VLOOKUP($E1167,$D$5:$AH$1237,3,)=0,0,(VLOOKUP($E1167,$D$5:$AH$1237,G$1,)/VLOOKUP($E1167,$D$5:$AH$1237,3,))*$F1167)</f>
        <v>0.45669730799708286</v>
      </c>
      <c r="H1167" s="60">
        <f t="shared" si="454"/>
        <v>0.12612389236288993</v>
      </c>
      <c r="I1167" s="60">
        <f t="shared" si="454"/>
        <v>8.5030773519335513E-3</v>
      </c>
      <c r="J1167" s="60">
        <f t="shared" si="454"/>
        <v>0.12672539149616727</v>
      </c>
      <c r="K1167" s="60">
        <f t="shared" si="454"/>
        <v>2.8140000683622792E-2</v>
      </c>
      <c r="L1167" s="60">
        <f t="shared" si="454"/>
        <v>1.8847093790738914E-2</v>
      </c>
      <c r="M1167" s="60">
        <f t="shared" si="454"/>
        <v>0.15111733149478057</v>
      </c>
      <c r="N1167" s="60">
        <f t="shared" si="454"/>
        <v>6.7328526181192477E-2</v>
      </c>
      <c r="O1167" s="60">
        <f t="shared" si="454"/>
        <v>1.6478614279759447E-2</v>
      </c>
      <c r="P1167" s="60">
        <f t="shared" si="454"/>
        <v>0</v>
      </c>
      <c r="Q1167" s="60">
        <f t="shared" si="454"/>
        <v>0</v>
      </c>
      <c r="R1167" s="60">
        <f t="shared" si="454"/>
        <v>3.87643618323565E-5</v>
      </c>
      <c r="S1167" s="60"/>
      <c r="T1167" s="60">
        <f>SUM(G1167:R1167)</f>
        <v>1</v>
      </c>
      <c r="U1167" s="61" t="str">
        <f t="shared" si="449"/>
        <v>ok</v>
      </c>
      <c r="V1167" s="62" t="str">
        <f t="shared" si="450"/>
        <v/>
      </c>
    </row>
    <row r="1168" spans="1:22" ht="12" customHeight="1" x14ac:dyDescent="0.2">
      <c r="F1168" s="57"/>
      <c r="G1168" s="60"/>
      <c r="H1168" s="60"/>
      <c r="I1168" s="60"/>
      <c r="J1168" s="60"/>
      <c r="K1168" s="60"/>
      <c r="L1168" s="60"/>
      <c r="M1168" s="60"/>
      <c r="N1168" s="60"/>
      <c r="O1168" s="60"/>
      <c r="P1168" s="60"/>
      <c r="Q1168" s="60"/>
      <c r="R1168" s="60"/>
      <c r="S1168" s="60"/>
      <c r="T1168" s="60"/>
      <c r="U1168" s="61"/>
    </row>
    <row r="1169" spans="1:28" ht="12" customHeight="1" x14ac:dyDescent="0.2">
      <c r="A1169" s="55" t="s">
        <v>1481</v>
      </c>
      <c r="D1169" s="55" t="s">
        <v>60</v>
      </c>
      <c r="F1169" s="73">
        <f>F1150</f>
        <v>3516646.9613307868</v>
      </c>
      <c r="G1169" s="73">
        <f t="shared" ref="G1169:R1169" si="455">G1150</f>
        <v>1400032.9662856022</v>
      </c>
      <c r="H1169" s="73">
        <f t="shared" si="455"/>
        <v>424931.39322003158</v>
      </c>
      <c r="I1169" s="73">
        <f>I1150</f>
        <v>24265.937846432738</v>
      </c>
      <c r="J1169" s="73">
        <f t="shared" si="455"/>
        <v>551194.93137144879</v>
      </c>
      <c r="K1169" s="73">
        <f t="shared" si="455"/>
        <v>139563.37084609055</v>
      </c>
      <c r="L1169" s="73">
        <f t="shared" si="455"/>
        <v>86246.902519651398</v>
      </c>
      <c r="M1169" s="73">
        <f>M1150</f>
        <v>573740.86223363748</v>
      </c>
      <c r="N1169" s="73">
        <f>N1150</f>
        <v>241657.018820636</v>
      </c>
      <c r="O1169" s="73">
        <f t="shared" si="455"/>
        <v>74880.248099847784</v>
      </c>
      <c r="P1169" s="73">
        <f t="shared" si="455"/>
        <v>0</v>
      </c>
      <c r="Q1169" s="73">
        <f t="shared" si="455"/>
        <v>0</v>
      </c>
      <c r="R1169" s="73">
        <f t="shared" si="455"/>
        <v>133.33008740908227</v>
      </c>
      <c r="S1169" s="73"/>
      <c r="T1169" s="73">
        <f>SUM(G1169:R1169)</f>
        <v>3516646.9613307868</v>
      </c>
      <c r="U1169" s="61" t="str">
        <f t="shared" ref="U1169:U1181" si="456">IF(ABS(F1169-T1169)&lt;0.01,"ok","err")</f>
        <v>ok</v>
      </c>
      <c r="V1169" s="62" t="str">
        <f t="shared" ref="V1169:V1174" si="457">IF(U1169="err",T1169-F1169,"")</f>
        <v/>
      </c>
    </row>
    <row r="1170" spans="1:28" ht="12" customHeight="1" x14ac:dyDescent="0.2">
      <c r="A1170" s="55" t="s">
        <v>1482</v>
      </c>
      <c r="F1170" s="62">
        <f t="shared" ref="F1170:R1170" si="458">F182</f>
        <v>30146227.239274755</v>
      </c>
      <c r="G1170" s="62">
        <f t="shared" si="458"/>
        <v>12001691.499947997</v>
      </c>
      <c r="H1170" s="62">
        <f t="shared" si="458"/>
        <v>3642696.717063983</v>
      </c>
      <c r="I1170" s="62">
        <f t="shared" si="458"/>
        <v>208018.17314520845</v>
      </c>
      <c r="J1170" s="62">
        <f t="shared" si="458"/>
        <v>4725082.6815928295</v>
      </c>
      <c r="K1170" s="62">
        <f t="shared" si="458"/>
        <v>1196397.9148516143</v>
      </c>
      <c r="L1170" s="62">
        <f t="shared" si="458"/>
        <v>739345.9595549159</v>
      </c>
      <c r="M1170" s="62">
        <f t="shared" si="458"/>
        <v>4918356.2067906251</v>
      </c>
      <c r="N1170" s="62">
        <f t="shared" si="458"/>
        <v>2071589.0686325093</v>
      </c>
      <c r="O1170" s="62">
        <f t="shared" si="458"/>
        <v>641906.05419687706</v>
      </c>
      <c r="P1170" s="62">
        <f t="shared" si="458"/>
        <v>0</v>
      </c>
      <c r="Q1170" s="62">
        <f t="shared" si="458"/>
        <v>0</v>
      </c>
      <c r="R1170" s="62">
        <f t="shared" si="458"/>
        <v>1142.9634982027083</v>
      </c>
      <c r="T1170" s="62">
        <f>F1170</f>
        <v>30146227.239274755</v>
      </c>
      <c r="U1170" s="61" t="str">
        <f t="shared" si="456"/>
        <v>ok</v>
      </c>
      <c r="V1170" s="62" t="str">
        <f t="shared" si="457"/>
        <v/>
      </c>
    </row>
    <row r="1171" spans="1:28" ht="12" customHeight="1" x14ac:dyDescent="0.2">
      <c r="A1171" s="55" t="s">
        <v>1116</v>
      </c>
      <c r="F1171" s="62">
        <v>0</v>
      </c>
      <c r="H1171" s="73">
        <v>0</v>
      </c>
      <c r="I1171" s="55">
        <v>0</v>
      </c>
      <c r="J1171" s="73">
        <v>0</v>
      </c>
      <c r="K1171" s="73">
        <v>0</v>
      </c>
      <c r="L1171" s="410">
        <v>0</v>
      </c>
      <c r="M1171" s="73">
        <v>0</v>
      </c>
      <c r="N1171" s="73">
        <v>0</v>
      </c>
      <c r="O1171" s="73">
        <v>0</v>
      </c>
      <c r="P1171" s="73">
        <v>0</v>
      </c>
      <c r="T1171" s="62">
        <f>SUM(G1171:R1171)</f>
        <v>0</v>
      </c>
      <c r="U1171" s="61" t="str">
        <f t="shared" si="456"/>
        <v>ok</v>
      </c>
      <c r="V1171" s="62" t="str">
        <f t="shared" si="457"/>
        <v/>
      </c>
    </row>
    <row r="1172" spans="1:28" ht="12" customHeight="1" x14ac:dyDescent="0.2">
      <c r="A1172" s="55" t="s">
        <v>1483</v>
      </c>
      <c r="E1172" s="55" t="s">
        <v>60</v>
      </c>
      <c r="F1172" s="62">
        <f>F1170-F1171</f>
        <v>30146227.239274755</v>
      </c>
      <c r="G1172" s="73">
        <f t="shared" ref="G1172:R1172" si="459">IF(VLOOKUP($E1172,$D$5:$AH$1237,3,)=0,0,(VLOOKUP($E1172,$D$5:$AH$1237,G$1,)/VLOOKUP($E1172,$D$5:$AH$1237,3,))*$F1172)</f>
        <v>12001691.499947997</v>
      </c>
      <c r="H1172" s="73">
        <f t="shared" si="459"/>
        <v>3642696.717063983</v>
      </c>
      <c r="I1172" s="73">
        <f t="shared" si="459"/>
        <v>208018.17314520845</v>
      </c>
      <c r="J1172" s="73">
        <f t="shared" si="459"/>
        <v>4725082.6815928295</v>
      </c>
      <c r="K1172" s="73">
        <f t="shared" si="459"/>
        <v>1196397.9148516143</v>
      </c>
      <c r="L1172" s="73">
        <f t="shared" si="459"/>
        <v>739345.9595549159</v>
      </c>
      <c r="M1172" s="73">
        <f t="shared" si="459"/>
        <v>4918356.2067906251</v>
      </c>
      <c r="N1172" s="73">
        <f t="shared" si="459"/>
        <v>2071589.0686325093</v>
      </c>
      <c r="O1172" s="73">
        <f t="shared" si="459"/>
        <v>641906.05419687706</v>
      </c>
      <c r="P1172" s="73">
        <f t="shared" si="459"/>
        <v>0</v>
      </c>
      <c r="Q1172" s="73">
        <f t="shared" si="459"/>
        <v>0</v>
      </c>
      <c r="R1172" s="73">
        <f t="shared" si="459"/>
        <v>1142.9634982027083</v>
      </c>
      <c r="S1172" s="404"/>
      <c r="T1172" s="62">
        <f>SUM(G1172:R1172)</f>
        <v>30146227.239274759</v>
      </c>
      <c r="U1172" s="61" t="str">
        <f t="shared" si="456"/>
        <v>ok</v>
      </c>
      <c r="V1172" s="62" t="str">
        <f t="shared" si="457"/>
        <v/>
      </c>
    </row>
    <row r="1173" spans="1:28" ht="12" customHeight="1" x14ac:dyDescent="0.2">
      <c r="A1173" s="55" t="s">
        <v>1484</v>
      </c>
      <c r="D1173" s="55" t="s">
        <v>61</v>
      </c>
      <c r="F1173" s="62">
        <f t="shared" ref="F1173:R1173" si="460">F1171+F1172</f>
        <v>30146227.239274755</v>
      </c>
      <c r="G1173" s="62">
        <f t="shared" si="460"/>
        <v>12001691.499947997</v>
      </c>
      <c r="H1173" s="62">
        <f t="shared" si="460"/>
        <v>3642696.717063983</v>
      </c>
      <c r="I1173" s="62">
        <f>I1171+I1172</f>
        <v>208018.17314520845</v>
      </c>
      <c r="J1173" s="62">
        <f t="shared" si="460"/>
        <v>4725082.6815928295</v>
      </c>
      <c r="K1173" s="62">
        <f t="shared" si="460"/>
        <v>1196397.9148516143</v>
      </c>
      <c r="L1173" s="62">
        <f t="shared" si="460"/>
        <v>739345.9595549159</v>
      </c>
      <c r="M1173" s="62">
        <f t="shared" si="460"/>
        <v>4918356.2067906251</v>
      </c>
      <c r="N1173" s="62">
        <f>N1171+N1172</f>
        <v>2071589.0686325093</v>
      </c>
      <c r="O1173" s="62">
        <f t="shared" si="460"/>
        <v>641906.05419687706</v>
      </c>
      <c r="P1173" s="62">
        <f t="shared" si="460"/>
        <v>0</v>
      </c>
      <c r="Q1173" s="62">
        <f t="shared" si="460"/>
        <v>0</v>
      </c>
      <c r="R1173" s="62">
        <f t="shared" si="460"/>
        <v>1142.9634982027083</v>
      </c>
      <c r="S1173" s="62"/>
      <c r="T1173" s="62">
        <f>SUM(G1173:R1173)</f>
        <v>30146227.239274759</v>
      </c>
      <c r="U1173" s="61" t="str">
        <f t="shared" si="456"/>
        <v>ok</v>
      </c>
      <c r="V1173" s="62" t="str">
        <f t="shared" si="457"/>
        <v/>
      </c>
    </row>
    <row r="1174" spans="1:28" ht="12" customHeight="1" x14ac:dyDescent="0.2">
      <c r="A1174" s="55" t="s">
        <v>1007</v>
      </c>
      <c r="D1174" s="55" t="s">
        <v>62</v>
      </c>
      <c r="E1174" s="55" t="s">
        <v>61</v>
      </c>
      <c r="F1174" s="57">
        <v>1</v>
      </c>
      <c r="G1174" s="60">
        <f t="shared" ref="G1174:R1174" si="461">IF(VLOOKUP($E1174,$D$5:$AH$1237,3,)=0,0,(VLOOKUP($E1174,$D$5:$AH$1237,G$1,)/VLOOKUP($E1174,$D$5:$AH$1237,3,))*$F1174)</f>
        <v>0.3981158705097298</v>
      </c>
      <c r="H1174" s="60">
        <f t="shared" si="461"/>
        <v>0.12083424861596768</v>
      </c>
      <c r="I1174" s="60">
        <f t="shared" si="461"/>
        <v>6.9003053514504345E-3</v>
      </c>
      <c r="J1174" s="60">
        <f t="shared" si="461"/>
        <v>0.15673877344880333</v>
      </c>
      <c r="K1174" s="60">
        <f t="shared" si="461"/>
        <v>3.9686488971095432E-2</v>
      </c>
      <c r="L1174" s="60">
        <f t="shared" si="461"/>
        <v>2.4525322976126508E-2</v>
      </c>
      <c r="M1174" s="60">
        <f t="shared" si="461"/>
        <v>0.16314997454749328</v>
      </c>
      <c r="N1174" s="60">
        <f t="shared" si="461"/>
        <v>6.8718020739047106E-2</v>
      </c>
      <c r="O1174" s="60">
        <f t="shared" si="461"/>
        <v>2.1293080858907496E-2</v>
      </c>
      <c r="P1174" s="60">
        <f t="shared" si="461"/>
        <v>0</v>
      </c>
      <c r="Q1174" s="60">
        <f t="shared" si="461"/>
        <v>0</v>
      </c>
      <c r="R1174" s="60">
        <f t="shared" si="461"/>
        <v>3.7913981379190492E-5</v>
      </c>
      <c r="S1174" s="60"/>
      <c r="T1174" s="60">
        <f>SUM(G1174:R1174)</f>
        <v>1.0000000000000002</v>
      </c>
      <c r="U1174" s="61" t="str">
        <f t="shared" si="456"/>
        <v>ok</v>
      </c>
      <c r="V1174" s="62" t="str">
        <f t="shared" si="457"/>
        <v/>
      </c>
    </row>
    <row r="1175" spans="1:28" ht="12" customHeight="1" x14ac:dyDescent="0.2">
      <c r="F1175" s="57"/>
      <c r="G1175" s="60"/>
      <c r="H1175" s="60"/>
      <c r="I1175" s="60"/>
      <c r="J1175" s="60"/>
      <c r="K1175" s="60"/>
      <c r="L1175" s="60"/>
      <c r="M1175" s="60"/>
      <c r="N1175" s="60"/>
      <c r="O1175" s="60"/>
      <c r="P1175" s="60"/>
      <c r="Q1175" s="60"/>
      <c r="R1175" s="60"/>
      <c r="S1175" s="60"/>
      <c r="T1175" s="60"/>
      <c r="U1175" s="61"/>
    </row>
    <row r="1176" spans="1:28" ht="12.75" x14ac:dyDescent="0.2">
      <c r="A1176" s="55" t="s">
        <v>2824</v>
      </c>
      <c r="D1176" s="55" t="s">
        <v>2825</v>
      </c>
      <c r="F1176" s="73">
        <f>F1152</f>
        <v>2199391.83</v>
      </c>
      <c r="G1176" s="73">
        <f t="shared" ref="G1176:R1176" si="462">G1152</f>
        <v>734854.64219178085</v>
      </c>
      <c r="H1176" s="73">
        <f t="shared" si="462"/>
        <v>231912.23940884153</v>
      </c>
      <c r="I1176" s="73">
        <f t="shared" si="462"/>
        <v>19313.928574537069</v>
      </c>
      <c r="J1176" s="73">
        <f t="shared" si="462"/>
        <v>377518.24761580944</v>
      </c>
      <c r="K1176" s="73">
        <f t="shared" si="462"/>
        <v>80507.853662018373</v>
      </c>
      <c r="L1176" s="73">
        <f t="shared" si="462"/>
        <v>61020.558997409622</v>
      </c>
      <c r="M1176" s="73">
        <f t="shared" si="462"/>
        <v>439778.11837135744</v>
      </c>
      <c r="N1176" s="73">
        <f t="shared" si="462"/>
        <v>180437.89473988954</v>
      </c>
      <c r="O1176" s="73">
        <f t="shared" si="462"/>
        <v>58644.46</v>
      </c>
      <c r="P1176" s="73">
        <f t="shared" si="462"/>
        <v>15252.99</v>
      </c>
      <c r="Q1176" s="73">
        <f t="shared" si="462"/>
        <v>4.96</v>
      </c>
      <c r="R1176" s="73">
        <f t="shared" si="462"/>
        <v>145.93643835616439</v>
      </c>
      <c r="S1176" s="73">
        <f>S1150</f>
        <v>0</v>
      </c>
      <c r="T1176" s="73">
        <f>T1152</f>
        <v>2199391.83</v>
      </c>
      <c r="U1176" s="61" t="str">
        <f t="shared" si="456"/>
        <v>ok</v>
      </c>
      <c r="V1176" s="73"/>
      <c r="W1176" s="73"/>
      <c r="X1176" s="73"/>
      <c r="Y1176" s="73"/>
      <c r="Z1176" s="73"/>
      <c r="AA1176" s="73"/>
      <c r="AB1176" s="61"/>
    </row>
    <row r="1177" spans="1:28" ht="12.75" x14ac:dyDescent="0.2">
      <c r="A1177" s="55" t="s">
        <v>2826</v>
      </c>
      <c r="F1177" s="62">
        <f>F180</f>
        <v>31138404.047316972</v>
      </c>
      <c r="T1177" s="62">
        <f>F1177</f>
        <v>31138404.047316972</v>
      </c>
      <c r="U1177" s="61" t="str">
        <f t="shared" si="456"/>
        <v>ok</v>
      </c>
      <c r="AA1177" s="62"/>
      <c r="AB1177" s="61"/>
    </row>
    <row r="1178" spans="1:28" ht="12.75" x14ac:dyDescent="0.2">
      <c r="A1178" s="55" t="s">
        <v>1116</v>
      </c>
      <c r="F1178" s="62">
        <v>0</v>
      </c>
      <c r="G1178" s="62">
        <v>0</v>
      </c>
      <c r="H1178" s="62">
        <v>0</v>
      </c>
      <c r="I1178" s="62">
        <v>0</v>
      </c>
      <c r="J1178" s="62">
        <v>0</v>
      </c>
      <c r="K1178" s="62">
        <v>0</v>
      </c>
      <c r="L1178" s="62">
        <v>0</v>
      </c>
      <c r="M1178" s="62">
        <v>0</v>
      </c>
      <c r="N1178" s="62">
        <v>0</v>
      </c>
      <c r="O1178" s="62">
        <v>0</v>
      </c>
      <c r="P1178" s="62">
        <v>0</v>
      </c>
      <c r="Q1178" s="62">
        <v>0</v>
      </c>
      <c r="R1178" s="62">
        <v>0</v>
      </c>
      <c r="T1178" s="62">
        <f>F1178</f>
        <v>0</v>
      </c>
      <c r="U1178" s="61" t="str">
        <f t="shared" si="456"/>
        <v>ok</v>
      </c>
      <c r="V1178" s="73"/>
      <c r="W1178" s="73"/>
      <c r="AA1178" s="62"/>
      <c r="AB1178" s="61"/>
    </row>
    <row r="1179" spans="1:28" ht="12.75" x14ac:dyDescent="0.2">
      <c r="A1179" s="55" t="s">
        <v>2827</v>
      </c>
      <c r="E1179" s="55" t="s">
        <v>2825</v>
      </c>
      <c r="F1179" s="62">
        <f>F1177-F1178</f>
        <v>31138404.047316972</v>
      </c>
      <c r="G1179" s="404">
        <f t="shared" ref="G1179:R1179" si="463">IF(VLOOKUP($E1179,$D$5:$AH$1237,3,)=0,0,(VLOOKUP($E1179,$D$5:$AH$1237,G$1,)/VLOOKUP($E1179,$D$5:$AH$1237,3,))*$F1179)</f>
        <v>10403876.404603273</v>
      </c>
      <c r="H1179" s="404">
        <f t="shared" si="463"/>
        <v>3283351.7501202198</v>
      </c>
      <c r="I1179" s="404">
        <f t="shared" si="463"/>
        <v>273441.45935786073</v>
      </c>
      <c r="J1179" s="404">
        <f t="shared" si="463"/>
        <v>5344802.853748953</v>
      </c>
      <c r="K1179" s="404">
        <f t="shared" si="463"/>
        <v>1139808.7608201196</v>
      </c>
      <c r="L1179" s="404">
        <f t="shared" si="463"/>
        <v>863912.83050937031</v>
      </c>
      <c r="M1179" s="404">
        <f t="shared" si="463"/>
        <v>6226261.530223161</v>
      </c>
      <c r="N1179" s="404">
        <f t="shared" si="463"/>
        <v>2554591.6808547615</v>
      </c>
      <c r="O1179" s="404">
        <f t="shared" si="463"/>
        <v>830272.65342561447</v>
      </c>
      <c r="P1179" s="404">
        <f t="shared" si="463"/>
        <v>215947.77204827813</v>
      </c>
      <c r="Q1179" s="404">
        <f t="shared" si="463"/>
        <v>70.222359639615547</v>
      </c>
      <c r="R1179" s="404">
        <f t="shared" si="463"/>
        <v>2066.129245719992</v>
      </c>
      <c r="S1179" s="404"/>
      <c r="T1179" s="62">
        <f>SUM(G1179:R1179)</f>
        <v>31138404.047316976</v>
      </c>
      <c r="U1179" s="61" t="str">
        <f t="shared" si="456"/>
        <v>ok</v>
      </c>
      <c r="V1179" s="404"/>
      <c r="W1179" s="404"/>
      <c r="X1179" s="404"/>
      <c r="Y1179" s="404"/>
      <c r="Z1179" s="404"/>
      <c r="AA1179" s="62"/>
      <c r="AB1179" s="61"/>
    </row>
    <row r="1180" spans="1:28" ht="12.75" x14ac:dyDescent="0.2">
      <c r="A1180" s="55" t="s">
        <v>2828</v>
      </c>
      <c r="D1180" s="55" t="s">
        <v>2829</v>
      </c>
      <c r="F1180" s="62">
        <f t="shared" ref="F1180:R1180" si="464">F1178+F1179</f>
        <v>31138404.047316972</v>
      </c>
      <c r="G1180" s="62">
        <f t="shared" si="464"/>
        <v>10403876.404603273</v>
      </c>
      <c r="H1180" s="62">
        <f t="shared" si="464"/>
        <v>3283351.7501202198</v>
      </c>
      <c r="I1180" s="62">
        <f t="shared" si="464"/>
        <v>273441.45935786073</v>
      </c>
      <c r="J1180" s="62">
        <f t="shared" si="464"/>
        <v>5344802.853748953</v>
      </c>
      <c r="K1180" s="62">
        <f t="shared" si="464"/>
        <v>1139808.7608201196</v>
      </c>
      <c r="L1180" s="62">
        <f t="shared" si="464"/>
        <v>863912.83050937031</v>
      </c>
      <c r="M1180" s="62">
        <f t="shared" si="464"/>
        <v>6226261.530223161</v>
      </c>
      <c r="N1180" s="62">
        <f t="shared" si="464"/>
        <v>2554591.6808547615</v>
      </c>
      <c r="O1180" s="62">
        <f>O1178+O1179</f>
        <v>830272.65342561447</v>
      </c>
      <c r="P1180" s="62">
        <f t="shared" si="464"/>
        <v>215947.77204827813</v>
      </c>
      <c r="Q1180" s="62">
        <f t="shared" si="464"/>
        <v>70.222359639615547</v>
      </c>
      <c r="R1180" s="62">
        <f t="shared" si="464"/>
        <v>2066.129245719992</v>
      </c>
      <c r="S1180" s="62"/>
      <c r="T1180" s="62">
        <f>SUM(G1180:R1180)</f>
        <v>31138404.047316976</v>
      </c>
      <c r="U1180" s="61" t="str">
        <f t="shared" si="456"/>
        <v>ok</v>
      </c>
      <c r="V1180" s="62"/>
      <c r="W1180" s="62"/>
      <c r="X1180" s="62"/>
      <c r="Y1180" s="62"/>
      <c r="Z1180" s="62"/>
      <c r="AA1180" s="62"/>
      <c r="AB1180" s="61"/>
    </row>
    <row r="1181" spans="1:28" ht="12.75" x14ac:dyDescent="0.2">
      <c r="A1181" s="55" t="s">
        <v>2830</v>
      </c>
      <c r="D1181" s="55" t="s">
        <v>2831</v>
      </c>
      <c r="E1181" s="55" t="s">
        <v>2829</v>
      </c>
      <c r="F1181" s="57">
        <v>1</v>
      </c>
      <c r="G1181" s="60">
        <f t="shared" ref="G1181:R1181" si="465">IF(VLOOKUP($E1181,$D$5:$AH$1237,3,)=0,0,(VLOOKUP($E1181,$D$5:$AH$1237,G$1,)/VLOOKUP($E1181,$D$5:$AH$1237,3,))*$F1181)</f>
        <v>0.33411720102269399</v>
      </c>
      <c r="H1181" s="60">
        <f t="shared" si="465"/>
        <v>0.10544380325757667</v>
      </c>
      <c r="I1181" s="60">
        <f t="shared" si="465"/>
        <v>8.781486004945771E-3</v>
      </c>
      <c r="J1181" s="60">
        <f t="shared" si="465"/>
        <v>0.17164665361870032</v>
      </c>
      <c r="K1181" s="60">
        <f t="shared" si="465"/>
        <v>3.6604597945614069E-2</v>
      </c>
      <c r="L1181" s="60">
        <f t="shared" si="465"/>
        <v>2.7744287382121275E-2</v>
      </c>
      <c r="M1181" s="60">
        <f t="shared" si="465"/>
        <v>0.19995442029597674</v>
      </c>
      <c r="N1181" s="60">
        <f t="shared" si="465"/>
        <v>8.20399040674301E-2</v>
      </c>
      <c r="O1181" s="60">
        <f t="shared" si="465"/>
        <v>2.666394373211798E-2</v>
      </c>
      <c r="P1181" s="60">
        <f t="shared" si="465"/>
        <v>6.9350944165324103E-3</v>
      </c>
      <c r="Q1181" s="60">
        <f t="shared" si="465"/>
        <v>2.2551688754795455E-6</v>
      </c>
      <c r="R1181" s="60">
        <f t="shared" si="465"/>
        <v>6.6353087415153478E-5</v>
      </c>
      <c r="S1181" s="60"/>
      <c r="T1181" s="60">
        <f>SUM(G1181:R1181)</f>
        <v>1.0000000000000002</v>
      </c>
      <c r="U1181" s="61" t="str">
        <f t="shared" si="456"/>
        <v>ok</v>
      </c>
      <c r="V1181" s="60"/>
      <c r="W1181" s="60"/>
      <c r="X1181" s="404"/>
      <c r="Y1181" s="404"/>
      <c r="Z1181" s="404"/>
      <c r="AA1181" s="60"/>
      <c r="AB1181" s="61"/>
    </row>
    <row r="1182" spans="1:28" ht="12.75" x14ac:dyDescent="0.2">
      <c r="F1182" s="57"/>
      <c r="G1182" s="60"/>
      <c r="H1182" s="60"/>
      <c r="I1182" s="60"/>
      <c r="J1182" s="60"/>
      <c r="K1182" s="60"/>
      <c r="L1182" s="60"/>
      <c r="M1182" s="60"/>
      <c r="N1182" s="60"/>
      <c r="O1182" s="60"/>
      <c r="P1182" s="60"/>
      <c r="Q1182" s="60"/>
      <c r="R1182" s="60"/>
      <c r="S1182" s="60"/>
      <c r="T1182" s="60"/>
      <c r="U1182" s="60"/>
      <c r="V1182" s="60"/>
      <c r="W1182" s="60"/>
      <c r="X1182" s="60"/>
      <c r="Y1182" s="60"/>
      <c r="Z1182" s="60"/>
      <c r="AA1182" s="60"/>
      <c r="AB1182" s="61"/>
    </row>
    <row r="1183" spans="1:28" ht="12" customHeight="1" x14ac:dyDescent="0.2">
      <c r="A1183" s="171" t="s">
        <v>1046</v>
      </c>
      <c r="F1183" s="57"/>
      <c r="G1183" s="60"/>
      <c r="H1183" s="60"/>
      <c r="I1183" s="60"/>
      <c r="J1183" s="60"/>
      <c r="K1183" s="60"/>
      <c r="L1183" s="60"/>
      <c r="M1183" s="60"/>
      <c r="N1183" s="60"/>
      <c r="O1183" s="60"/>
      <c r="P1183" s="60"/>
      <c r="Q1183" s="60"/>
      <c r="R1183" s="60"/>
      <c r="S1183" s="60"/>
      <c r="T1183" s="60"/>
      <c r="U1183" s="61"/>
    </row>
    <row r="1184" spans="1:28" ht="12" customHeight="1" x14ac:dyDescent="0.2">
      <c r="A1184" s="55" t="s">
        <v>1047</v>
      </c>
      <c r="D1184" s="55" t="s">
        <v>1048</v>
      </c>
      <c r="F1184" s="473">
        <f t="shared" ref="F1184:S1184" si="466">F34+F39+F42</f>
        <v>1071051206.6004183</v>
      </c>
      <c r="G1184" s="473">
        <f t="shared" si="466"/>
        <v>728380900.14178944</v>
      </c>
      <c r="H1184" s="473">
        <f t="shared" si="466"/>
        <v>183334311.11859018</v>
      </c>
      <c r="I1184" s="473">
        <f t="shared" si="466"/>
        <v>5851493.3017086834</v>
      </c>
      <c r="J1184" s="473">
        <f t="shared" si="466"/>
        <v>69210273.775848135</v>
      </c>
      <c r="K1184" s="473">
        <f t="shared" si="466"/>
        <v>9559947.1059536561</v>
      </c>
      <c r="L1184" s="473">
        <f t="shared" si="466"/>
        <v>9360030.3950799759</v>
      </c>
      <c r="M1184" s="473">
        <f t="shared" si="466"/>
        <v>42811857.313123845</v>
      </c>
      <c r="N1184" s="473">
        <f t="shared" si="466"/>
        <v>0</v>
      </c>
      <c r="O1184" s="473">
        <f t="shared" si="466"/>
        <v>0</v>
      </c>
      <c r="P1184" s="473">
        <f t="shared" si="466"/>
        <v>22353793.61990102</v>
      </c>
      <c r="Q1184" s="473">
        <f t="shared" si="466"/>
        <v>3313.0887059143688</v>
      </c>
      <c r="R1184" s="473">
        <f t="shared" si="466"/>
        <v>185286.73971742543</v>
      </c>
      <c r="S1184" s="473">
        <f t="shared" si="466"/>
        <v>0</v>
      </c>
      <c r="T1184" s="62">
        <f>SUM(G1184:R1184)</f>
        <v>1071051206.6004183</v>
      </c>
      <c r="U1184" s="61" t="str">
        <f>IF(ABS(F1184-T1184)&lt;0.01,"ok","err")</f>
        <v>ok</v>
      </c>
      <c r="V1184" s="62" t="str">
        <f>IF(U1184="err",T1184-F1184,"")</f>
        <v/>
      </c>
    </row>
    <row r="1185" spans="1:34" ht="12" customHeight="1" x14ac:dyDescent="0.2">
      <c r="F1185" s="57"/>
      <c r="G1185" s="60"/>
      <c r="H1185" s="60"/>
      <c r="I1185" s="60"/>
      <c r="J1185" s="60"/>
      <c r="K1185" s="60"/>
      <c r="L1185" s="60"/>
      <c r="M1185" s="60"/>
      <c r="N1185" s="60"/>
      <c r="O1185" s="60"/>
      <c r="P1185" s="60"/>
      <c r="Q1185" s="60"/>
      <c r="R1185" s="60"/>
      <c r="S1185" s="60"/>
      <c r="T1185" s="60"/>
      <c r="U1185" s="61"/>
      <c r="Y1185" s="410"/>
      <c r="Z1185" s="410"/>
      <c r="AA1185" s="410"/>
      <c r="AB1185" s="410"/>
      <c r="AC1185" s="410"/>
      <c r="AD1185" s="410"/>
    </row>
    <row r="1186" spans="1:34" ht="12" customHeight="1" x14ac:dyDescent="0.2">
      <c r="A1186" s="171" t="s">
        <v>1182</v>
      </c>
      <c r="F1186" s="57"/>
      <c r="G1186" s="60"/>
      <c r="H1186" s="60"/>
      <c r="I1186" s="60"/>
      <c r="J1186" s="60"/>
      <c r="K1186" s="60"/>
      <c r="L1186" s="60"/>
      <c r="M1186" s="60"/>
      <c r="N1186" s="60"/>
      <c r="O1186" s="60"/>
      <c r="P1186" s="60"/>
      <c r="Q1186" s="60"/>
      <c r="R1186" s="60"/>
      <c r="S1186" s="60"/>
      <c r="T1186" s="60"/>
      <c r="U1186" s="61"/>
      <c r="Y1186" s="410"/>
      <c r="Z1186" s="410"/>
      <c r="AA1186" s="410"/>
      <c r="AB1186" s="410"/>
      <c r="AC1186" s="410"/>
      <c r="AD1186" s="410"/>
    </row>
    <row r="1187" spans="1:34" ht="12" customHeight="1" x14ac:dyDescent="0.2">
      <c r="A1187" s="55" t="s">
        <v>1181</v>
      </c>
      <c r="D1187" s="55" t="s">
        <v>2289</v>
      </c>
      <c r="F1187" s="73">
        <v>14710735</v>
      </c>
      <c r="G1187" s="73">
        <v>5574888</v>
      </c>
      <c r="H1187" s="73">
        <v>2594231</v>
      </c>
      <c r="I1187" s="73">
        <v>124251</v>
      </c>
      <c r="J1187" s="73">
        <v>2755268</v>
      </c>
      <c r="K1187" s="73">
        <v>685530</v>
      </c>
      <c r="L1187" s="73">
        <v>219124</v>
      </c>
      <c r="M1187" s="73">
        <v>1637606</v>
      </c>
      <c r="N1187" s="73">
        <v>689254</v>
      </c>
      <c r="O1187" s="73">
        <v>170284</v>
      </c>
      <c r="P1187" s="73">
        <v>259239</v>
      </c>
      <c r="Q1187" s="73">
        <v>11</v>
      </c>
      <c r="R1187" s="73">
        <v>1049</v>
      </c>
      <c r="S1187" s="73"/>
      <c r="T1187" s="73">
        <f t="shared" ref="T1187:T1193" si="467">SUM(G1187:R1187)</f>
        <v>14710735</v>
      </c>
      <c r="U1187" s="475" t="str">
        <f t="shared" ref="U1187:U1197" si="468">IF(ABS(F1187-T1187)&lt;0.01,"ok","err")</f>
        <v>ok</v>
      </c>
      <c r="V1187" s="62" t="str">
        <f t="shared" ref="V1187:V1197" si="469">IF(U1187="err",T1187-F1187,"")</f>
        <v/>
      </c>
      <c r="W1187" s="410"/>
      <c r="X1187" s="410"/>
      <c r="AE1187" s="410"/>
      <c r="AF1187" s="410"/>
      <c r="AG1187" s="410"/>
      <c r="AH1187" s="410"/>
    </row>
    <row r="1188" spans="1:34" ht="12" customHeight="1" x14ac:dyDescent="0.2">
      <c r="A1188" s="55" t="s">
        <v>2291</v>
      </c>
      <c r="D1188" s="55" t="s">
        <v>2290</v>
      </c>
      <c r="F1188" s="73">
        <v>0</v>
      </c>
      <c r="G1188" s="73">
        <v>0</v>
      </c>
      <c r="H1188" s="73">
        <v>0</v>
      </c>
      <c r="I1188" s="73">
        <v>0</v>
      </c>
      <c r="J1188" s="73">
        <v>0</v>
      </c>
      <c r="K1188" s="73">
        <v>0</v>
      </c>
      <c r="L1188" s="73">
        <v>0</v>
      </c>
      <c r="M1188" s="73">
        <v>0</v>
      </c>
      <c r="N1188" s="73">
        <v>0</v>
      </c>
      <c r="O1188" s="73">
        <v>0</v>
      </c>
      <c r="P1188" s="73">
        <v>0</v>
      </c>
      <c r="Q1188" s="73">
        <v>0</v>
      </c>
      <c r="R1188" s="73">
        <v>0</v>
      </c>
      <c r="S1188" s="73">
        <v>0</v>
      </c>
      <c r="T1188" s="73">
        <f t="shared" si="467"/>
        <v>0</v>
      </c>
      <c r="U1188" s="475" t="str">
        <f t="shared" si="468"/>
        <v>ok</v>
      </c>
      <c r="V1188" s="62" t="str">
        <f t="shared" si="469"/>
        <v/>
      </c>
      <c r="W1188" s="410"/>
      <c r="X1188" s="410"/>
      <c r="AE1188" s="410"/>
      <c r="AF1188" s="410"/>
      <c r="AG1188" s="410"/>
      <c r="AH1188" s="410"/>
    </row>
    <row r="1189" spans="1:34" ht="12" customHeight="1" x14ac:dyDescent="0.2">
      <c r="A1189" s="55" t="s">
        <v>719</v>
      </c>
      <c r="D1189" s="55" t="s">
        <v>720</v>
      </c>
      <c r="F1189" s="73">
        <f t="shared" ref="F1189:M1189" si="470">F9+F10</f>
        <v>2433112018.0549407</v>
      </c>
      <c r="G1189" s="73">
        <f t="shared" si="470"/>
        <v>1038978572.3380131</v>
      </c>
      <c r="H1189" s="73">
        <f t="shared" si="470"/>
        <v>300352671.44902134</v>
      </c>
      <c r="I1189" s="73">
        <f t="shared" si="470"/>
        <v>18713098.728022583</v>
      </c>
      <c r="J1189" s="73">
        <f t="shared" si="470"/>
        <v>345336515.01813018</v>
      </c>
      <c r="K1189" s="73">
        <f t="shared" si="470"/>
        <v>82701878.628196418</v>
      </c>
      <c r="L1189" s="73">
        <f t="shared" si="470"/>
        <v>52857011.696206823</v>
      </c>
      <c r="M1189" s="73">
        <f t="shared" si="470"/>
        <v>382518814.67413032</v>
      </c>
      <c r="N1189" s="73">
        <f>N9+N10</f>
        <v>165530766.24454123</v>
      </c>
      <c r="O1189" s="73">
        <f>O9+O10</f>
        <v>46029419.563155234</v>
      </c>
      <c r="P1189" s="73">
        <f>P9+P10</f>
        <v>0</v>
      </c>
      <c r="Q1189" s="73">
        <f>Q9+Q10</f>
        <v>0</v>
      </c>
      <c r="R1189" s="73">
        <f>R9+R10</f>
        <v>93269.71552394786</v>
      </c>
      <c r="S1189" s="73"/>
      <c r="T1189" s="73">
        <f t="shared" si="467"/>
        <v>2433112018.0549412</v>
      </c>
      <c r="U1189" s="475" t="str">
        <f t="shared" si="468"/>
        <v>ok</v>
      </c>
      <c r="V1189" s="62" t="str">
        <f t="shared" si="469"/>
        <v/>
      </c>
      <c r="W1189" s="410"/>
      <c r="X1189" s="410"/>
      <c r="AE1189" s="410"/>
      <c r="AF1189" s="410"/>
      <c r="AG1189" s="410"/>
      <c r="AH1189" s="410"/>
    </row>
    <row r="1190" spans="1:34" ht="12" customHeight="1" x14ac:dyDescent="0.2">
      <c r="A1190" s="55" t="s">
        <v>687</v>
      </c>
      <c r="D1190" s="55" t="s">
        <v>2288</v>
      </c>
      <c r="F1190" s="73">
        <v>-3407542</v>
      </c>
      <c r="G1190" s="73">
        <v>-710224.72499999998</v>
      </c>
      <c r="H1190" s="73">
        <v>42720.713819999997</v>
      </c>
      <c r="I1190" s="73">
        <v>73528.97464</v>
      </c>
      <c r="J1190" s="73">
        <v>-1562555.88555</v>
      </c>
      <c r="K1190" s="73">
        <v>171787</v>
      </c>
      <c r="L1190" s="73">
        <v>116378.11070000008</v>
      </c>
      <c r="M1190" s="73">
        <v>-1816141.9948885681</v>
      </c>
      <c r="N1190" s="73">
        <v>166983</v>
      </c>
      <c r="O1190" s="73">
        <v>0</v>
      </c>
      <c r="P1190" s="73">
        <v>98915</v>
      </c>
      <c r="Q1190" s="73">
        <v>0</v>
      </c>
      <c r="R1190" s="73">
        <v>11068</v>
      </c>
      <c r="S1190" s="73"/>
      <c r="T1190" s="73">
        <f t="shared" si="467"/>
        <v>-3407541.8062785678</v>
      </c>
      <c r="U1190" s="475" t="str">
        <f t="shared" si="468"/>
        <v>err</v>
      </c>
      <c r="V1190" s="62">
        <f t="shared" si="469"/>
        <v>0.19372143223881721</v>
      </c>
      <c r="W1190" s="410"/>
      <c r="X1190" s="410"/>
      <c r="AE1190" s="410"/>
      <c r="AF1190" s="410"/>
      <c r="AG1190" s="410"/>
      <c r="AH1190" s="410"/>
    </row>
    <row r="1191" spans="1:34" ht="12" customHeight="1" x14ac:dyDescent="0.2">
      <c r="A1191" s="55" t="s">
        <v>2718</v>
      </c>
      <c r="D1191" s="55" t="s">
        <v>2719</v>
      </c>
      <c r="F1191" s="73">
        <v>-8348788</v>
      </c>
      <c r="G1191" s="73">
        <f>'Billing Det'!H8+'Billing Det'!I8</f>
        <v>-30891</v>
      </c>
      <c r="H1191" s="73">
        <f>'Billing Det'!H10+'Billing Det'!I10</f>
        <v>-3346954</v>
      </c>
      <c r="I1191" s="73">
        <f>'Billing Det'!H12+'Billing Det'!I12</f>
        <v>-20438</v>
      </c>
      <c r="J1191" s="73">
        <f>'Billing Det'!H14+'Billing Det'!I14</f>
        <v>-1353663</v>
      </c>
      <c r="K1191" s="73">
        <f>'Billing Det'!H16+'Billing Det'!I16</f>
        <v>-5386209</v>
      </c>
      <c r="L1191" s="73">
        <f>'Billing Det'!H18+'Billing Det'!I18</f>
        <v>2518028</v>
      </c>
      <c r="M1191" s="73">
        <f>'Billing Det'!H20+'Billing Det'!I20</f>
        <v>3315076</v>
      </c>
      <c r="N1191" s="73">
        <f>'Billing Det'!H26+'Billing Det'!I26</f>
        <v>-2949246</v>
      </c>
      <c r="O1191" s="73">
        <f>'Billing Det'!H28+'Billing Det'!I28+'Billing Det'!I38</f>
        <v>-1094561</v>
      </c>
      <c r="P1191" s="73">
        <f>'Billing Det'!H30+'Billing Det'!I30</f>
        <v>0</v>
      </c>
      <c r="Q1191" s="73">
        <f>'Billing Det'!H32+'Billing Det'!I32</f>
        <v>0</v>
      </c>
      <c r="R1191" s="73">
        <f>'Billing Det'!H34+'Billing Det'!I34</f>
        <v>70</v>
      </c>
      <c r="S1191" s="73"/>
      <c r="T1191" s="73">
        <f t="shared" si="467"/>
        <v>-8348788</v>
      </c>
      <c r="U1191" s="475" t="str">
        <f t="shared" si="468"/>
        <v>ok</v>
      </c>
      <c r="V1191" s="62" t="str">
        <f t="shared" si="469"/>
        <v/>
      </c>
      <c r="W1191" s="410"/>
      <c r="X1191" s="410"/>
      <c r="AE1191" s="410"/>
      <c r="AF1191" s="410"/>
      <c r="AG1191" s="410"/>
      <c r="AH1191" s="410"/>
    </row>
    <row r="1192" spans="1:34" ht="12" customHeight="1" x14ac:dyDescent="0.2">
      <c r="A1192" s="55" t="s">
        <v>2292</v>
      </c>
      <c r="D1192" s="55" t="s">
        <v>2287</v>
      </c>
      <c r="F1192" s="73">
        <v>15401444</v>
      </c>
      <c r="G1192" s="73">
        <v>11425450</v>
      </c>
      <c r="H1192" s="73">
        <v>3105553</v>
      </c>
      <c r="I1192" s="73">
        <v>38693</v>
      </c>
      <c r="J1192" s="73">
        <v>527094</v>
      </c>
      <c r="K1192" s="73">
        <v>97296</v>
      </c>
      <c r="L1192" s="73">
        <v>70049</v>
      </c>
      <c r="M1192" s="73">
        <v>137309</v>
      </c>
      <c r="N1192" s="73">
        <v>0</v>
      </c>
      <c r="O1192" s="73">
        <v>0</v>
      </c>
      <c r="P1192" s="73">
        <v>0</v>
      </c>
      <c r="Q1192" s="73">
        <v>0</v>
      </c>
      <c r="R1192" s="73">
        <v>0</v>
      </c>
      <c r="S1192" s="73"/>
      <c r="T1192" s="73">
        <f t="shared" si="467"/>
        <v>15401444</v>
      </c>
      <c r="U1192" s="475" t="str">
        <f t="shared" si="468"/>
        <v>ok</v>
      </c>
      <c r="V1192" s="62" t="str">
        <f t="shared" si="469"/>
        <v/>
      </c>
      <c r="W1192" s="410"/>
      <c r="X1192" s="410"/>
      <c r="AE1192" s="410"/>
      <c r="AF1192" s="410"/>
      <c r="AG1192" s="410"/>
      <c r="AH1192" s="410"/>
    </row>
    <row r="1193" spans="1:34" ht="12" customHeight="1" x14ac:dyDescent="0.2">
      <c r="A1193" s="55" t="s">
        <v>723</v>
      </c>
      <c r="F1193" s="73">
        <f>'Billing Det'!J36</f>
        <v>1257574176</v>
      </c>
      <c r="G1193" s="73">
        <f>'Billing Det'!J8</f>
        <v>458005465</v>
      </c>
      <c r="H1193" s="73">
        <f>'Billing Det'!J10</f>
        <v>182158458</v>
      </c>
      <c r="I1193" s="73">
        <f>'Billing Det'!J12</f>
        <v>10668266</v>
      </c>
      <c r="J1193" s="73">
        <f>'Billing Det'!J14</f>
        <v>221396753</v>
      </c>
      <c r="K1193" s="73">
        <f>'Billing Det'!J16</f>
        <v>51224549</v>
      </c>
      <c r="L1193" s="73">
        <f>'Billing Det'!J18</f>
        <v>22889891</v>
      </c>
      <c r="M1193" s="73">
        <f>'Billing Det'!J20</f>
        <v>184047357</v>
      </c>
      <c r="N1193" s="73">
        <f>'Billing Det'!J26</f>
        <v>79886044</v>
      </c>
      <c r="O1193" s="73">
        <f>'Billing Det'!J28</f>
        <v>24102240</v>
      </c>
      <c r="P1193" s="73">
        <f>'Billing Det'!J30</f>
        <v>23087333</v>
      </c>
      <c r="Q1193" s="73">
        <f>'Billing Det'!J32</f>
        <v>2255</v>
      </c>
      <c r="R1193" s="73">
        <f>'Billing Det'!J34</f>
        <v>105565</v>
      </c>
      <c r="S1193" s="60"/>
      <c r="T1193" s="73">
        <f t="shared" si="467"/>
        <v>1257574176</v>
      </c>
      <c r="U1193" s="475" t="str">
        <f t="shared" si="468"/>
        <v>ok</v>
      </c>
      <c r="V1193" s="62" t="str">
        <f t="shared" si="469"/>
        <v/>
      </c>
    </row>
    <row r="1194" spans="1:34" ht="12" customHeight="1" x14ac:dyDescent="0.2">
      <c r="A1194" s="55" t="s">
        <v>2337</v>
      </c>
      <c r="D1194" s="55" t="s">
        <v>2336</v>
      </c>
      <c r="F1194" s="473">
        <v>6910623.978525958</v>
      </c>
      <c r="G1194" s="473">
        <v>5226738.8185259579</v>
      </c>
      <c r="H1194" s="473">
        <v>1128696.5599999998</v>
      </c>
      <c r="I1194" s="473">
        <v>5854.3300000000008</v>
      </c>
      <c r="J1194" s="473">
        <v>225327.12000000002</v>
      </c>
      <c r="K1194" s="473">
        <v>29221.16</v>
      </c>
      <c r="L1194" s="473">
        <v>75334.090000000011</v>
      </c>
      <c r="M1194" s="473">
        <v>179921.2</v>
      </c>
      <c r="N1194" s="473">
        <v>39401.499999999993</v>
      </c>
      <c r="O1194" s="473">
        <v>0</v>
      </c>
      <c r="P1194" s="473">
        <v>125.42000000000002</v>
      </c>
      <c r="Q1194" s="473">
        <v>0</v>
      </c>
      <c r="R1194" s="473">
        <v>3.7800000000000002</v>
      </c>
      <c r="S1194" s="473"/>
      <c r="T1194" s="473">
        <f>SUM(G1194:R1194)</f>
        <v>6910623.978525958</v>
      </c>
      <c r="U1194" s="475" t="str">
        <f t="shared" si="468"/>
        <v>ok</v>
      </c>
      <c r="V1194" s="62" t="str">
        <f t="shared" si="469"/>
        <v/>
      </c>
    </row>
    <row r="1195" spans="1:34" ht="12" customHeight="1" x14ac:dyDescent="0.2">
      <c r="A1195" s="55" t="s">
        <v>2343</v>
      </c>
      <c r="D1195" s="55" t="s">
        <v>2341</v>
      </c>
      <c r="F1195" s="73">
        <v>20092575</v>
      </c>
      <c r="G1195" s="73">
        <v>8476853</v>
      </c>
      <c r="H1195" s="73">
        <v>3169217</v>
      </c>
      <c r="I1195" s="73">
        <v>177565</v>
      </c>
      <c r="J1195" s="73">
        <v>4276826</v>
      </c>
      <c r="K1195" s="73">
        <v>717095</v>
      </c>
      <c r="L1195" s="73">
        <v>507052</v>
      </c>
      <c r="M1195" s="73">
        <v>2191634</v>
      </c>
      <c r="N1195" s="73">
        <v>136830</v>
      </c>
      <c r="O1195" s="73">
        <v>0</v>
      </c>
      <c r="P1195" s="73">
        <v>436325</v>
      </c>
      <c r="Q1195" s="73">
        <v>64</v>
      </c>
      <c r="R1195" s="73">
        <v>3114</v>
      </c>
      <c r="S1195" s="73"/>
      <c r="T1195" s="73">
        <f>SUM(G1195:R1195)</f>
        <v>20092575</v>
      </c>
      <c r="U1195" s="475" t="str">
        <f t="shared" si="468"/>
        <v>ok</v>
      </c>
      <c r="V1195" s="62" t="str">
        <f t="shared" si="469"/>
        <v/>
      </c>
    </row>
    <row r="1196" spans="1:34" ht="12" customHeight="1" x14ac:dyDescent="0.2">
      <c r="A1196" s="55" t="s">
        <v>2346</v>
      </c>
      <c r="D1196" s="55" t="s">
        <v>2345</v>
      </c>
      <c r="F1196" s="73">
        <v>-3616226.0899999607</v>
      </c>
      <c r="G1196" s="73">
        <v>-1105429.1799999475</v>
      </c>
      <c r="H1196" s="73">
        <v>-393288.65000002086</v>
      </c>
      <c r="I1196" s="73">
        <v>-34667.939999999478</v>
      </c>
      <c r="J1196" s="73">
        <v>-647899</v>
      </c>
      <c r="K1196" s="73">
        <v>-192686.31999999285</v>
      </c>
      <c r="L1196" s="73">
        <v>-84328</v>
      </c>
      <c r="M1196" s="73">
        <v>-678789</v>
      </c>
      <c r="N1196" s="73">
        <v>-341016</v>
      </c>
      <c r="O1196" s="73">
        <v>-112199</v>
      </c>
      <c r="P1196" s="73">
        <f>-9484-16235</f>
        <v>-25719</v>
      </c>
      <c r="Q1196" s="73">
        <f>-8</f>
        <v>-8</v>
      </c>
      <c r="R1196" s="73">
        <f>-196</f>
        <v>-196</v>
      </c>
      <c r="S1196" s="73"/>
      <c r="T1196" s="73">
        <f>SUM(G1196:R1196)</f>
        <v>-3616226.0899999607</v>
      </c>
      <c r="U1196" s="475" t="str">
        <f t="shared" si="468"/>
        <v>ok</v>
      </c>
      <c r="V1196" s="62" t="str">
        <f t="shared" si="469"/>
        <v/>
      </c>
    </row>
    <row r="1197" spans="1:34" ht="12" customHeight="1" x14ac:dyDescent="0.2">
      <c r="A1197" s="55" t="s">
        <v>2366</v>
      </c>
      <c r="D1197" s="55" t="s">
        <v>2367</v>
      </c>
      <c r="F1197" s="73">
        <f t="shared" ref="F1197:S1197" si="471">SUM(F794:F807)-SUM(F825:F843)</f>
        <v>-6606198</v>
      </c>
      <c r="G1197" s="73">
        <f t="shared" si="471"/>
        <v>315660.21204866841</v>
      </c>
      <c r="H1197" s="73">
        <f t="shared" si="471"/>
        <v>-3461483.9449529424</v>
      </c>
      <c r="I1197" s="73">
        <f t="shared" si="471"/>
        <v>49669.414982177463</v>
      </c>
      <c r="J1197" s="73">
        <f t="shared" si="471"/>
        <v>-1533855.8735405235</v>
      </c>
      <c r="K1197" s="73">
        <f t="shared" si="471"/>
        <v>-5185254.4490682436</v>
      </c>
      <c r="L1197" s="73">
        <f t="shared" si="471"/>
        <v>2725381.9784939168</v>
      </c>
      <c r="M1197" s="73">
        <f t="shared" si="471"/>
        <v>3702488.1318582292</v>
      </c>
      <c r="N1197" s="73">
        <f t="shared" si="471"/>
        <v>-2347369.357865789</v>
      </c>
      <c r="O1197" s="73">
        <f t="shared" si="471"/>
        <v>-886833.1571268629</v>
      </c>
      <c r="P1197" s="73">
        <f t="shared" si="471"/>
        <v>10186.104761582101</v>
      </c>
      <c r="Q1197" s="73">
        <f t="shared" si="471"/>
        <v>14.38606452737104</v>
      </c>
      <c r="R1197" s="73">
        <f t="shared" si="471"/>
        <v>5198.6395366712841</v>
      </c>
      <c r="S1197" s="73">
        <f t="shared" si="471"/>
        <v>0</v>
      </c>
      <c r="T1197" s="73">
        <f>SUM(G1197:R1197)</f>
        <v>-6606197.9148085881</v>
      </c>
      <c r="U1197" s="475" t="str">
        <f t="shared" si="468"/>
        <v>err</v>
      </c>
      <c r="V1197" s="62">
        <f t="shared" si="469"/>
        <v>8.5191411897540092E-2</v>
      </c>
    </row>
    <row r="1198" spans="1:34" ht="12" customHeight="1" x14ac:dyDescent="0.2">
      <c r="F1198" s="73"/>
      <c r="G1198" s="73"/>
      <c r="H1198" s="73"/>
      <c r="I1198" s="73"/>
      <c r="J1198" s="73"/>
      <c r="K1198" s="73"/>
      <c r="L1198" s="73"/>
      <c r="M1198" s="73"/>
      <c r="N1198" s="73"/>
      <c r="O1198" s="73"/>
      <c r="P1198" s="73"/>
      <c r="Q1198" s="73"/>
      <c r="R1198" s="73"/>
      <c r="S1198" s="60"/>
      <c r="T1198" s="73"/>
      <c r="U1198" s="475"/>
    </row>
    <row r="1199" spans="1:34" ht="12" customHeight="1" x14ac:dyDescent="0.2">
      <c r="A1199" s="55" t="s">
        <v>2766</v>
      </c>
      <c r="D1199" s="55" t="s">
        <v>2765</v>
      </c>
      <c r="F1199" s="73">
        <v>153508035</v>
      </c>
      <c r="G1199" s="73">
        <v>56592842</v>
      </c>
      <c r="H1199" s="73">
        <v>27494815</v>
      </c>
      <c r="I1199" s="73">
        <v>1328040</v>
      </c>
      <c r="J1199" s="73">
        <v>27054868</v>
      </c>
      <c r="K1199" s="73">
        <f>6225132</f>
        <v>6225132</v>
      </c>
      <c r="L1199" s="73">
        <v>2577384</v>
      </c>
      <c r="M1199" s="73">
        <f>19026087</f>
        <v>19026087</v>
      </c>
      <c r="N1199" s="73">
        <v>7866500</v>
      </c>
      <c r="O1199" s="73">
        <v>2469091</v>
      </c>
      <c r="P1199" s="73">
        <v>2862244.9999999995</v>
      </c>
      <c r="Q1199" s="73">
        <v>381</v>
      </c>
      <c r="R1199" s="73">
        <v>10650</v>
      </c>
      <c r="S1199" s="73"/>
      <c r="T1199" s="73">
        <f>SUM(G1199:R1199)</f>
        <v>153508035</v>
      </c>
      <c r="U1199" s="475" t="str">
        <f>IF(ABS(F1199-T1199)&lt;0.01,"ok","err")</f>
        <v>ok</v>
      </c>
      <c r="V1199" s="62"/>
    </row>
    <row r="1200" spans="1:34" ht="12" customHeight="1" x14ac:dyDescent="0.2">
      <c r="T1200" s="73"/>
      <c r="U1200" s="61"/>
    </row>
    <row r="1201" spans="1:22" ht="12" customHeight="1" x14ac:dyDescent="0.2">
      <c r="A1201" s="55" t="s">
        <v>724</v>
      </c>
      <c r="D1201" s="55" t="s">
        <v>639</v>
      </c>
      <c r="F1201" s="473">
        <f t="shared" ref="F1201:R1201" si="472">F231-F183</f>
        <v>246856793.77369714</v>
      </c>
      <c r="G1201" s="473">
        <f t="shared" si="472"/>
        <v>127920605.71832201</v>
      </c>
      <c r="H1201" s="473">
        <f t="shared" si="472"/>
        <v>39405223.659783378</v>
      </c>
      <c r="I1201" s="473">
        <f t="shared" si="472"/>
        <v>1959336.0262160413</v>
      </c>
      <c r="J1201" s="473">
        <f t="shared" si="472"/>
        <v>26072693.972021163</v>
      </c>
      <c r="K1201" s="473">
        <f t="shared" si="472"/>
        <v>5486500.1658558175</v>
      </c>
      <c r="L1201" s="473">
        <f t="shared" si="472"/>
        <v>3838937.7544002682</v>
      </c>
      <c r="M1201" s="473">
        <f t="shared" si="472"/>
        <v>25395473.472106755</v>
      </c>
      <c r="N1201" s="473">
        <f t="shared" si="472"/>
        <v>9059256.8202353194</v>
      </c>
      <c r="O1201" s="473">
        <f t="shared" si="472"/>
        <v>2610416.725337496</v>
      </c>
      <c r="P1201" s="473">
        <f t="shared" si="472"/>
        <v>5078633.6775065148</v>
      </c>
      <c r="Q1201" s="473">
        <f t="shared" si="472"/>
        <v>497.74533602079259</v>
      </c>
      <c r="R1201" s="473">
        <f t="shared" si="472"/>
        <v>29218.036576279075</v>
      </c>
      <c r="S1201" s="473"/>
      <c r="T1201" s="73">
        <f>SUM(G1201:R1201)</f>
        <v>246856793.77369705</v>
      </c>
      <c r="U1201" s="61" t="str">
        <f>IF(ABS(F1201-T1201)&lt;0.01,"ok","err")</f>
        <v>ok</v>
      </c>
      <c r="V1201" s="405" t="str">
        <f>IF(U1201="err",T1201-F1201,"")</f>
        <v/>
      </c>
    </row>
    <row r="1202" spans="1:22" ht="12" customHeight="1" x14ac:dyDescent="0.2">
      <c r="F1202" s="473"/>
      <c r="G1202" s="473"/>
      <c r="H1202" s="473"/>
      <c r="I1202" s="473"/>
      <c r="J1202" s="473"/>
      <c r="K1202" s="473"/>
      <c r="L1202" s="473"/>
      <c r="M1202" s="473"/>
      <c r="N1202" s="473"/>
      <c r="O1202" s="473"/>
      <c r="P1202" s="473"/>
      <c r="Q1202" s="473"/>
      <c r="R1202" s="473"/>
      <c r="S1202" s="473"/>
      <c r="T1202" s="73"/>
      <c r="U1202" s="61"/>
    </row>
    <row r="1203" spans="1:22" ht="12" customHeight="1" x14ac:dyDescent="0.2">
      <c r="A1203" s="171" t="s">
        <v>1465</v>
      </c>
      <c r="F1203" s="57"/>
      <c r="G1203" s="60"/>
      <c r="H1203" s="60"/>
      <c r="I1203" s="60"/>
      <c r="J1203" s="60"/>
      <c r="K1203" s="60"/>
      <c r="L1203" s="60"/>
      <c r="M1203" s="60"/>
      <c r="N1203" s="60"/>
      <c r="O1203" s="60"/>
      <c r="P1203" s="60"/>
      <c r="Q1203" s="60"/>
      <c r="R1203" s="60"/>
      <c r="S1203" s="60"/>
      <c r="T1203" s="60"/>
      <c r="U1203" s="61"/>
    </row>
    <row r="1204" spans="1:22" ht="12" customHeight="1" x14ac:dyDescent="0.2">
      <c r="G1204" s="60"/>
      <c r="H1204" s="60"/>
      <c r="I1204" s="60"/>
      <c r="J1204" s="60"/>
      <c r="K1204" s="60"/>
      <c r="L1204" s="60"/>
      <c r="M1204" s="60"/>
      <c r="N1204" s="60"/>
      <c r="O1204" s="60"/>
      <c r="P1204" s="60"/>
      <c r="Q1204" s="60"/>
      <c r="R1204" s="60"/>
      <c r="S1204" s="60"/>
      <c r="T1204" s="60"/>
      <c r="U1204" s="61"/>
    </row>
    <row r="1205" spans="1:22" ht="12" customHeight="1" x14ac:dyDescent="0.2">
      <c r="A1205" s="55" t="s">
        <v>1466</v>
      </c>
      <c r="E1205" s="55" t="s">
        <v>513</v>
      </c>
      <c r="F1205" s="404">
        <f>F655</f>
        <v>5895029.1158981416</v>
      </c>
      <c r="G1205" s="404">
        <f t="shared" ref="G1205:R1205" si="473">IF(VLOOKUP($E1205,$D$5:$AH$1251,3,)=0,0,(VLOOKUP($E1205,$D$5:$AH$1251,G$1,)/VLOOKUP($E1205,$D$5:$AH$1251,3,))*$F1205)</f>
        <v>2319186.0359656434</v>
      </c>
      <c r="H1205" s="404">
        <f t="shared" si="473"/>
        <v>689576.00865631038</v>
      </c>
      <c r="I1205" s="404">
        <f t="shared" si="473"/>
        <v>47675.003560946832</v>
      </c>
      <c r="J1205" s="404">
        <f t="shared" si="473"/>
        <v>900176.09921796247</v>
      </c>
      <c r="K1205" s="404">
        <f t="shared" si="473"/>
        <v>206406.79137866825</v>
      </c>
      <c r="L1205" s="404">
        <f t="shared" si="473"/>
        <v>140537.11951024304</v>
      </c>
      <c r="M1205" s="404">
        <f t="shared" si="473"/>
        <v>1017410.9154894121</v>
      </c>
      <c r="N1205" s="404">
        <f t="shared" si="473"/>
        <v>430937.75931908615</v>
      </c>
      <c r="O1205" s="404">
        <f t="shared" si="473"/>
        <v>128042.30977625446</v>
      </c>
      <c r="P1205" s="404">
        <f t="shared" si="473"/>
        <v>14791.079264468843</v>
      </c>
      <c r="Q1205" s="404">
        <f t="shared" si="473"/>
        <v>4.8094535434524071</v>
      </c>
      <c r="R1205" s="404">
        <f t="shared" si="473"/>
        <v>285.18430560384382</v>
      </c>
      <c r="S1205" s="404"/>
      <c r="T1205" s="62">
        <f>SUM(G1205:R1205)</f>
        <v>5895029.1158981416</v>
      </c>
      <c r="U1205" s="61" t="str">
        <f>IF(ABS(F1205-T1205)&lt;0.01,"ok","err")</f>
        <v>ok</v>
      </c>
      <c r="V1205" s="62" t="str">
        <f>IF(U1205="err",T1205-F1205,"")</f>
        <v/>
      </c>
    </row>
    <row r="1206" spans="1:22" ht="12" customHeight="1" x14ac:dyDescent="0.2">
      <c r="G1206" s="60"/>
      <c r="H1206" s="60"/>
      <c r="I1206" s="60"/>
      <c r="J1206" s="60"/>
      <c r="K1206" s="60"/>
      <c r="L1206" s="60"/>
      <c r="M1206" s="60"/>
      <c r="N1206" s="60"/>
      <c r="O1206" s="60"/>
      <c r="P1206" s="60"/>
      <c r="Q1206" s="60"/>
      <c r="R1206" s="60"/>
      <c r="S1206" s="60"/>
      <c r="T1206" s="60"/>
      <c r="U1206" s="61"/>
    </row>
    <row r="1207" spans="1:22" ht="12" customHeight="1" x14ac:dyDescent="0.2">
      <c r="A1207" s="55" t="s">
        <v>1467</v>
      </c>
      <c r="G1207" s="60"/>
      <c r="H1207" s="60"/>
      <c r="I1207" s="60"/>
      <c r="J1207" s="60"/>
      <c r="K1207" s="60"/>
      <c r="L1207" s="60"/>
      <c r="M1207" s="60"/>
      <c r="N1207" s="60"/>
      <c r="O1207" s="60"/>
      <c r="P1207" s="60"/>
      <c r="Q1207" s="60"/>
      <c r="R1207" s="60"/>
      <c r="S1207" s="60"/>
      <c r="T1207" s="60"/>
      <c r="U1207" s="61"/>
    </row>
    <row r="1208" spans="1:22" ht="12" customHeight="1" x14ac:dyDescent="0.2">
      <c r="A1208" s="55" t="s">
        <v>1468</v>
      </c>
      <c r="E1208" s="55" t="s">
        <v>124</v>
      </c>
      <c r="F1208" s="404">
        <f>-2695890.40996577</f>
        <v>-2695890.4099657699</v>
      </c>
      <c r="G1208" s="404">
        <f t="shared" ref="G1208:R1209" si="474">IF(VLOOKUP($E1208,$D$5:$AH$1251,3,)=0,0,(VLOOKUP($E1208,$D$5:$AH$1251,G$1,)/VLOOKUP($E1208,$D$5:$AH$1251,3,))*$F1208)</f>
        <v>-901506.40128690365</v>
      </c>
      <c r="H1208" s="404">
        <f t="shared" si="474"/>
        <v>-288562.99657849816</v>
      </c>
      <c r="I1208" s="404">
        <f t="shared" si="474"/>
        <v>-23846.788882495395</v>
      </c>
      <c r="J1208" s="404">
        <f t="shared" si="474"/>
        <v>-464512.53495522385</v>
      </c>
      <c r="K1208" s="404">
        <f t="shared" si="474"/>
        <v>-106212.80332290439</v>
      </c>
      <c r="L1208" s="404">
        <f t="shared" si="474"/>
        <v>-68764.055002053254</v>
      </c>
      <c r="M1208" s="404">
        <f t="shared" si="474"/>
        <v>-530406.55845892162</v>
      </c>
      <c r="N1208" s="404">
        <f t="shared" si="474"/>
        <v>-221323.08088358783</v>
      </c>
      <c r="O1208" s="404">
        <f t="shared" si="474"/>
        <v>-71883.072972307797</v>
      </c>
      <c r="P1208" s="404">
        <f t="shared" si="474"/>
        <v>-18696.2546411699</v>
      </c>
      <c r="Q1208" s="404">
        <f t="shared" si="474"/>
        <v>-6.0740726452458826</v>
      </c>
      <c r="R1208" s="404">
        <f t="shared" si="474"/>
        <v>-169.78890905881823</v>
      </c>
      <c r="S1208" s="404"/>
      <c r="T1208" s="62">
        <f>SUM(G1208:R1208)</f>
        <v>-2695890.4099657694</v>
      </c>
      <c r="U1208" s="61" t="str">
        <f>IF(ABS(F1208-T1208)&lt;0.01,"ok","err")</f>
        <v>ok</v>
      </c>
      <c r="V1208" s="62" t="str">
        <f>IF(U1208="err",T1208-F1208,"")</f>
        <v/>
      </c>
    </row>
    <row r="1209" spans="1:22" ht="12" customHeight="1" x14ac:dyDescent="0.2">
      <c r="A1209" s="55" t="s">
        <v>1469</v>
      </c>
      <c r="E1209" s="55" t="s">
        <v>513</v>
      </c>
      <c r="F1209" s="404">
        <f>-F1208</f>
        <v>2695890.4099657699</v>
      </c>
      <c r="G1209" s="404">
        <f t="shared" si="474"/>
        <v>1060600.5959198282</v>
      </c>
      <c r="H1209" s="404">
        <f t="shared" si="474"/>
        <v>315354.05714375124</v>
      </c>
      <c r="I1209" s="404">
        <f t="shared" si="474"/>
        <v>21802.536063548981</v>
      </c>
      <c r="J1209" s="404">
        <f t="shared" si="474"/>
        <v>411664.82225124125</v>
      </c>
      <c r="K1209" s="404">
        <f t="shared" si="474"/>
        <v>94393.10281417986</v>
      </c>
      <c r="L1209" s="404">
        <f t="shared" si="474"/>
        <v>64269.856057217126</v>
      </c>
      <c r="M1209" s="404">
        <f t="shared" si="474"/>
        <v>465278.16506713128</v>
      </c>
      <c r="N1209" s="404">
        <f t="shared" si="474"/>
        <v>197074.67932725561</v>
      </c>
      <c r="O1209" s="404">
        <f t="shared" si="474"/>
        <v>58555.78118600681</v>
      </c>
      <c r="P1209" s="404">
        <f t="shared" si="474"/>
        <v>6764.1953853267614</v>
      </c>
      <c r="Q1209" s="404">
        <f t="shared" si="474"/>
        <v>2.1994394650235458</v>
      </c>
      <c r="R1209" s="404">
        <f t="shared" si="474"/>
        <v>130.419310818453</v>
      </c>
      <c r="S1209" s="404"/>
      <c r="T1209" s="62">
        <f>SUM(G1209:R1209)</f>
        <v>2695890.4099657703</v>
      </c>
      <c r="U1209" s="61" t="str">
        <f>IF(ABS(F1209-T1209)&lt;0.01,"ok","err")</f>
        <v>ok</v>
      </c>
      <c r="V1209" s="62" t="str">
        <f>IF(U1209="err",T1209-F1209,"")</f>
        <v/>
      </c>
    </row>
    <row r="1210" spans="1:22" ht="12" customHeight="1" x14ac:dyDescent="0.2">
      <c r="A1210" s="55" t="s">
        <v>1470</v>
      </c>
      <c r="F1210" s="404">
        <f>F1208+F1209</f>
        <v>0</v>
      </c>
      <c r="G1210" s="404">
        <f t="shared" ref="G1210:R1210" si="475">G1208+G1209</f>
        <v>159094.19463292451</v>
      </c>
      <c r="H1210" s="404">
        <f t="shared" si="475"/>
        <v>26791.060565253079</v>
      </c>
      <c r="I1210" s="404">
        <f>I1208+I1209</f>
        <v>-2044.2528189464138</v>
      </c>
      <c r="J1210" s="404">
        <f t="shared" si="475"/>
        <v>-52847.712703982601</v>
      </c>
      <c r="K1210" s="404">
        <f t="shared" si="475"/>
        <v>-11819.700508724534</v>
      </c>
      <c r="L1210" s="404">
        <f t="shared" si="475"/>
        <v>-4494.1989448361273</v>
      </c>
      <c r="M1210" s="404">
        <f t="shared" si="475"/>
        <v>-65128.393391790334</v>
      </c>
      <c r="N1210" s="404">
        <f>N1208+N1209</f>
        <v>-24248.401556332217</v>
      </c>
      <c r="O1210" s="404">
        <f t="shared" si="475"/>
        <v>-13327.291786300986</v>
      </c>
      <c r="P1210" s="404">
        <f t="shared" si="475"/>
        <v>-11932.059255843138</v>
      </c>
      <c r="Q1210" s="404">
        <f t="shared" si="475"/>
        <v>-3.8746331802223368</v>
      </c>
      <c r="R1210" s="404">
        <f t="shared" si="475"/>
        <v>-39.369598240365235</v>
      </c>
      <c r="S1210" s="404"/>
      <c r="T1210" s="60"/>
      <c r="U1210" s="61"/>
    </row>
    <row r="1211" spans="1:22" ht="12" customHeight="1" x14ac:dyDescent="0.2">
      <c r="F1211" s="57"/>
      <c r="G1211" s="60"/>
      <c r="H1211" s="60"/>
      <c r="I1211" s="60"/>
      <c r="J1211" s="60"/>
      <c r="K1211" s="60"/>
      <c r="L1211" s="60"/>
      <c r="M1211" s="60"/>
      <c r="N1211" s="60"/>
      <c r="O1211" s="60"/>
      <c r="P1211" s="60"/>
      <c r="Q1211" s="60"/>
      <c r="R1211" s="60"/>
      <c r="S1211" s="60"/>
      <c r="T1211" s="60"/>
      <c r="U1211" s="61"/>
    </row>
    <row r="1212" spans="1:22" ht="12" customHeight="1" x14ac:dyDescent="0.2">
      <c r="A1212" s="55" t="s">
        <v>1471</v>
      </c>
      <c r="D1212" s="55" t="s">
        <v>1472</v>
      </c>
      <c r="F1212" s="404">
        <f>F1205-F1210</f>
        <v>5895029.1158981416</v>
      </c>
      <c r="G1212" s="404">
        <f t="shared" ref="G1212:R1212" si="476">G1205-G1210</f>
        <v>2160091.8413327187</v>
      </c>
      <c r="H1212" s="404">
        <f t="shared" si="476"/>
        <v>662784.94809105736</v>
      </c>
      <c r="I1212" s="404">
        <f>I1205-I1210</f>
        <v>49719.256379893246</v>
      </c>
      <c r="J1212" s="404">
        <f t="shared" si="476"/>
        <v>953023.81192194507</v>
      </c>
      <c r="K1212" s="404">
        <f t="shared" si="476"/>
        <v>218226.49188739277</v>
      </c>
      <c r="L1212" s="404">
        <f t="shared" si="476"/>
        <v>145031.31845507916</v>
      </c>
      <c r="M1212" s="404">
        <f>M1205-M1210</f>
        <v>1082539.3088812025</v>
      </c>
      <c r="N1212" s="404">
        <f>N1205-N1210</f>
        <v>455186.16087541834</v>
      </c>
      <c r="O1212" s="404">
        <f t="shared" si="476"/>
        <v>141369.60156255544</v>
      </c>
      <c r="P1212" s="404">
        <f t="shared" si="476"/>
        <v>26723.138520311979</v>
      </c>
      <c r="Q1212" s="404">
        <f t="shared" si="476"/>
        <v>8.6840867236747439</v>
      </c>
      <c r="R1212" s="404">
        <f t="shared" si="476"/>
        <v>324.55390384420906</v>
      </c>
      <c r="S1212" s="404"/>
      <c r="T1212" s="62">
        <f>SUM(G1212:R1212)</f>
        <v>5895029.1158981416</v>
      </c>
      <c r="U1212" s="61" t="str">
        <f>IF(ABS(F1212-T1212)&lt;0.01,"ok","err")</f>
        <v>ok</v>
      </c>
      <c r="V1212" s="62" t="str">
        <f>IF(U1212="err",T1212-F1212,"")</f>
        <v/>
      </c>
    </row>
    <row r="1213" spans="1:22" ht="12" customHeight="1" x14ac:dyDescent="0.2">
      <c r="F1213" s="473"/>
      <c r="G1213" s="473"/>
      <c r="H1213" s="473"/>
      <c r="I1213" s="473"/>
      <c r="J1213" s="473"/>
      <c r="K1213" s="473"/>
      <c r="L1213" s="473"/>
      <c r="M1213" s="473"/>
      <c r="N1213" s="473"/>
      <c r="O1213" s="473"/>
      <c r="P1213" s="473"/>
      <c r="Q1213" s="473"/>
      <c r="R1213" s="473"/>
      <c r="S1213" s="473"/>
      <c r="T1213" s="73"/>
      <c r="U1213" s="61"/>
    </row>
    <row r="1214" spans="1:22" ht="12" customHeight="1" x14ac:dyDescent="0.2">
      <c r="A1214" s="55" t="s">
        <v>1866</v>
      </c>
      <c r="D1214" s="55" t="s">
        <v>2731</v>
      </c>
      <c r="F1214" s="473">
        <v>1</v>
      </c>
      <c r="G1214" s="473">
        <v>0.90713173749965659</v>
      </c>
      <c r="H1214" s="473">
        <v>3.225724939029611E-2</v>
      </c>
      <c r="I1214" s="473">
        <v>3.9881115032380993E-4</v>
      </c>
      <c r="J1214" s="473">
        <v>1.9967833596195822E-3</v>
      </c>
      <c r="K1214" s="473">
        <v>3.8077792273905835E-2</v>
      </c>
      <c r="L1214" s="473">
        <v>1.5734455734351042E-3</v>
      </c>
      <c r="M1214" s="473">
        <v>5.9372789426372308E-5</v>
      </c>
      <c r="N1214" s="473"/>
      <c r="O1214" s="473">
        <v>7.5525785214250845E-5</v>
      </c>
      <c r="P1214" s="473">
        <v>1.8429283912060879E-2</v>
      </c>
      <c r="Q1214" s="473"/>
      <c r="R1214" s="473"/>
      <c r="S1214" s="73"/>
      <c r="T1214" s="412">
        <f>SUM(G1214:R1214)</f>
        <v>1.0000000017339385</v>
      </c>
      <c r="U1214" s="61" t="str">
        <f>IF(ABS(F1214-T1214)&lt;0.00001,"ok","err")</f>
        <v>ok</v>
      </c>
      <c r="V1214" s="476" t="str">
        <f>IF(U1214="err",T1214-F1214,"")</f>
        <v/>
      </c>
    </row>
    <row r="1215" spans="1:22" ht="12" customHeight="1" x14ac:dyDescent="0.2">
      <c r="F1215" s="73"/>
      <c r="G1215" s="73"/>
      <c r="H1215" s="73"/>
      <c r="I1215" s="73"/>
      <c r="J1215" s="73"/>
      <c r="K1215" s="73"/>
      <c r="L1215" s="73"/>
      <c r="M1215" s="73"/>
      <c r="N1215" s="73"/>
      <c r="O1215" s="73"/>
      <c r="P1215" s="73"/>
      <c r="Q1215" s="73"/>
      <c r="R1215" s="73"/>
      <c r="S1215" s="73"/>
      <c r="T1215" s="73"/>
      <c r="U1215" s="61"/>
      <c r="V1215" s="476"/>
    </row>
    <row r="1216" spans="1:22" ht="12" customHeight="1" x14ac:dyDescent="0.2">
      <c r="A1216" s="171" t="s">
        <v>635</v>
      </c>
      <c r="F1216" s="57"/>
      <c r="G1216" s="57"/>
      <c r="H1216" s="57"/>
      <c r="I1216" s="57"/>
      <c r="J1216" s="57"/>
      <c r="K1216" s="57"/>
      <c r="L1216" s="57"/>
      <c r="M1216" s="57"/>
      <c r="N1216" s="57"/>
      <c r="O1216" s="57"/>
      <c r="P1216" s="57"/>
      <c r="Q1216" s="57"/>
      <c r="R1216" s="57"/>
      <c r="S1216" s="57"/>
      <c r="T1216" s="476"/>
      <c r="U1216" s="61"/>
    </row>
    <row r="1217" spans="1:30" ht="12" customHeight="1" x14ac:dyDescent="0.2">
      <c r="A1217" s="55" t="s">
        <v>636</v>
      </c>
      <c r="F1217" s="73">
        <f>SUM(G1217:S1217)</f>
        <v>2230442.2020202018</v>
      </c>
      <c r="G1217" s="57"/>
      <c r="H1217" s="57"/>
      <c r="I1217" s="57"/>
      <c r="J1217" s="57"/>
      <c r="K1217" s="73">
        <f>-(K1111)/5.5</f>
        <v>25295.454545454544</v>
      </c>
      <c r="L1217" s="57"/>
      <c r="M1217" s="73">
        <f>-(M1111)/5.5</f>
        <v>67975.636363636368</v>
      </c>
      <c r="N1217" s="73"/>
      <c r="O1217" s="73">
        <f>-(O1111)/5.4</f>
        <v>2137171.111111111</v>
      </c>
      <c r="P1217" s="57"/>
      <c r="Q1217" s="57"/>
      <c r="R1217" s="57"/>
      <c r="S1217" s="57"/>
      <c r="T1217" s="73">
        <f>SUM(G1217:R1217)</f>
        <v>2230442.2020202018</v>
      </c>
      <c r="U1217" s="61" t="str">
        <f>IF(ABS(F1217-T1217)&lt;0.00001,"ok","err")</f>
        <v>ok</v>
      </c>
    </row>
    <row r="1218" spans="1:30" ht="12" customHeight="1" x14ac:dyDescent="0.2">
      <c r="A1218" s="55" t="s">
        <v>2797</v>
      </c>
      <c r="F1218" s="73">
        <f>SUM(G1218:S1218)</f>
        <v>169275.18518518517</v>
      </c>
      <c r="G1218" s="57"/>
      <c r="H1218" s="57"/>
      <c r="I1218" s="57"/>
      <c r="J1218" s="57"/>
      <c r="K1218" s="73"/>
      <c r="L1218" s="57"/>
      <c r="M1218" s="73">
        <v>0</v>
      </c>
      <c r="N1218" s="73"/>
      <c r="O1218" s="73">
        <f>914086/5.4</f>
        <v>169275.18518518517</v>
      </c>
      <c r="P1218" s="57"/>
      <c r="Q1218" s="57"/>
      <c r="R1218" s="57"/>
      <c r="S1218" s="57"/>
      <c r="T1218" s="73">
        <f>SUM(G1218:R1218)</f>
        <v>169275.18518518517</v>
      </c>
      <c r="U1218" s="61" t="str">
        <f>IF(ABS(F1218-T1218)&lt;0.00001,"ok","err")</f>
        <v>ok</v>
      </c>
    </row>
    <row r="1219" spans="1:30" ht="12" customHeight="1" x14ac:dyDescent="0.2">
      <c r="A1219" s="55" t="s">
        <v>637</v>
      </c>
      <c r="F1219" s="471">
        <v>2.75</v>
      </c>
      <c r="G1219" s="471"/>
      <c r="H1219" s="471"/>
      <c r="I1219" s="471"/>
      <c r="J1219" s="471"/>
      <c r="K1219" s="471">
        <v>2.8</v>
      </c>
      <c r="L1219" s="471"/>
      <c r="M1219" s="471">
        <v>2.8</v>
      </c>
      <c r="N1219" s="471">
        <v>2.75</v>
      </c>
      <c r="O1219" s="471">
        <v>2.75</v>
      </c>
      <c r="P1219" s="471">
        <v>2.8</v>
      </c>
      <c r="Q1219" s="471">
        <v>2.8</v>
      </c>
      <c r="R1219" s="471">
        <v>2.8</v>
      </c>
      <c r="S1219" s="57"/>
      <c r="T1219" s="476"/>
      <c r="U1219" s="61"/>
    </row>
    <row r="1220" spans="1:30" ht="12" customHeight="1" x14ac:dyDescent="0.2">
      <c r="A1220" s="55" t="s">
        <v>638</v>
      </c>
      <c r="F1220" s="73">
        <v>5672872.8508417504</v>
      </c>
      <c r="G1220" s="73">
        <f t="shared" ref="G1220:M1220" si="477">G1217*G1219</f>
        <v>0</v>
      </c>
      <c r="H1220" s="73">
        <f t="shared" si="477"/>
        <v>0</v>
      </c>
      <c r="I1220" s="73">
        <f t="shared" si="477"/>
        <v>0</v>
      </c>
      <c r="J1220" s="73">
        <f t="shared" si="477"/>
        <v>0</v>
      </c>
      <c r="K1220" s="73">
        <f t="shared" si="477"/>
        <v>70827.272727272721</v>
      </c>
      <c r="L1220" s="73">
        <f t="shared" si="477"/>
        <v>0</v>
      </c>
      <c r="M1220" s="73">
        <f t="shared" si="477"/>
        <v>190331.78181818183</v>
      </c>
      <c r="N1220" s="73">
        <f>N1217*N1219</f>
        <v>0</v>
      </c>
      <c r="O1220" s="73">
        <f>(O1217-O1218)*O1219</f>
        <v>5411713.7962962957</v>
      </c>
      <c r="P1220" s="73">
        <f>P1217*P1219</f>
        <v>0</v>
      </c>
      <c r="Q1220" s="73">
        <f>Q1217*Q1219</f>
        <v>0</v>
      </c>
      <c r="R1220" s="73">
        <f>R1217*R1219</f>
        <v>0</v>
      </c>
      <c r="S1220" s="57"/>
      <c r="T1220" s="73">
        <f>SUM(G1220:R1220)</f>
        <v>5672872.8508417504</v>
      </c>
      <c r="U1220" s="61" t="str">
        <f>IF(ABS(F1220-T1220)&lt;0.00001,"ok","err")</f>
        <v>ok</v>
      </c>
      <c r="Y1220" s="410"/>
      <c r="Z1220" s="410"/>
      <c r="AA1220" s="410"/>
      <c r="AB1220" s="410"/>
      <c r="AC1220" s="410"/>
      <c r="AD1220" s="410"/>
    </row>
    <row r="1221" spans="1:30" ht="12" customHeight="1" x14ac:dyDescent="0.2">
      <c r="F1221" s="57"/>
      <c r="G1221" s="57"/>
      <c r="H1221" s="57"/>
      <c r="I1221" s="57"/>
      <c r="J1221" s="57"/>
      <c r="K1221" s="57"/>
      <c r="L1221" s="57"/>
      <c r="M1221" s="57"/>
      <c r="N1221" s="57"/>
      <c r="O1221" s="57"/>
      <c r="P1221" s="57"/>
      <c r="Q1221" s="57"/>
      <c r="R1221" s="57"/>
      <c r="S1221" s="57"/>
      <c r="T1221" s="476"/>
      <c r="U1221" s="61"/>
      <c r="Y1221" s="410"/>
      <c r="Z1221" s="410"/>
      <c r="AA1221" s="410"/>
      <c r="AB1221" s="410"/>
      <c r="AC1221" s="410"/>
      <c r="AD1221" s="410"/>
    </row>
    <row r="1222" spans="1:30" s="410" customFormat="1" ht="12" customHeight="1" x14ac:dyDescent="0.2">
      <c r="A1222" s="410" t="s">
        <v>1891</v>
      </c>
      <c r="D1222" s="410" t="s">
        <v>1892</v>
      </c>
      <c r="F1222" s="73">
        <v>-3</v>
      </c>
      <c r="G1222" s="73">
        <v>0</v>
      </c>
      <c r="H1222" s="73">
        <v>-4</v>
      </c>
      <c r="I1222" s="73">
        <v>22</v>
      </c>
      <c r="J1222" s="73">
        <v>-20</v>
      </c>
      <c r="K1222" s="73">
        <v>0</v>
      </c>
      <c r="L1222" s="73">
        <v>0</v>
      </c>
      <c r="M1222" s="73">
        <v>0</v>
      </c>
      <c r="N1222" s="73">
        <v>0</v>
      </c>
      <c r="O1222" s="73">
        <v>0</v>
      </c>
      <c r="P1222" s="73">
        <v>-1</v>
      </c>
      <c r="Q1222" s="73">
        <v>0</v>
      </c>
      <c r="R1222" s="73">
        <v>0</v>
      </c>
      <c r="S1222" s="73"/>
      <c r="T1222" s="410">
        <f>SUM(G1222:R1222)</f>
        <v>-3</v>
      </c>
      <c r="U1222" s="475" t="str">
        <f>IF(ABS(F1222-T1222)&lt;0.01,"ok","err")</f>
        <v>ok</v>
      </c>
      <c r="Y1222" s="55"/>
      <c r="Z1222" s="55"/>
      <c r="AA1222" s="55"/>
      <c r="AB1222" s="55"/>
      <c r="AC1222" s="55"/>
      <c r="AD1222" s="55"/>
    </row>
    <row r="1223" spans="1:30" ht="12" customHeight="1" x14ac:dyDescent="0.2">
      <c r="F1223" s="57"/>
      <c r="G1223" s="57"/>
      <c r="H1223" s="57"/>
      <c r="I1223" s="57"/>
      <c r="J1223" s="57"/>
      <c r="K1223" s="57"/>
      <c r="L1223" s="57"/>
      <c r="M1223" s="57"/>
      <c r="N1223" s="57"/>
      <c r="O1223" s="57"/>
      <c r="P1223" s="57"/>
      <c r="Q1223" s="57"/>
      <c r="R1223" s="57"/>
      <c r="S1223" s="57"/>
      <c r="T1223" s="476"/>
      <c r="U1223" s="61"/>
    </row>
    <row r="1224" spans="1:30" ht="12" customHeight="1" x14ac:dyDescent="0.2">
      <c r="M1224" s="55">
        <v>5.5</v>
      </c>
      <c r="O1224" s="55">
        <v>5.4</v>
      </c>
      <c r="Y1224" s="418"/>
      <c r="Z1224" s="418"/>
      <c r="AA1224" s="418"/>
      <c r="AB1224" s="418"/>
      <c r="AC1224" s="418"/>
      <c r="AD1224" s="418"/>
    </row>
    <row r="1225" spans="1:30" s="418" customFormat="1" ht="12" customHeight="1" x14ac:dyDescent="0.2">
      <c r="A1225" s="417" t="s">
        <v>528</v>
      </c>
      <c r="F1225" s="420"/>
      <c r="J1225" s="55"/>
      <c r="K1225" s="55"/>
      <c r="L1225" s="55"/>
      <c r="M1225" s="73">
        <f>M1217*M1224</f>
        <v>373866</v>
      </c>
      <c r="N1225" s="55"/>
      <c r="O1225" s="418">
        <f>O1224*O1217</f>
        <v>11540724</v>
      </c>
    </row>
    <row r="1226" spans="1:30" s="418" customFormat="1" ht="12" customHeight="1" x14ac:dyDescent="0.2">
      <c r="A1226" s="417" t="s">
        <v>1065</v>
      </c>
      <c r="F1226" s="429"/>
      <c r="J1226" s="55"/>
      <c r="K1226" s="55"/>
      <c r="L1226" s="55"/>
      <c r="M1226" s="55"/>
      <c r="N1226" s="55"/>
    </row>
    <row r="1227" spans="1:30" s="418" customFormat="1" ht="12" customHeight="1" x14ac:dyDescent="0.2">
      <c r="A1227" s="417" t="s">
        <v>1183</v>
      </c>
      <c r="G1227" s="420"/>
      <c r="H1227" s="420"/>
      <c r="I1227" s="420"/>
      <c r="J1227" s="62"/>
      <c r="K1227" s="62"/>
      <c r="L1227" s="55"/>
      <c r="M1227" s="62"/>
      <c r="N1227" s="62"/>
      <c r="O1227" s="420"/>
      <c r="P1227" s="420"/>
      <c r="Q1227" s="420"/>
      <c r="R1227" s="420"/>
      <c r="S1227" s="420"/>
      <c r="T1227" s="420"/>
      <c r="U1227" s="421"/>
    </row>
    <row r="1228" spans="1:30" s="418" customFormat="1" ht="12" customHeight="1" x14ac:dyDescent="0.2">
      <c r="A1228" s="418" t="s">
        <v>311</v>
      </c>
      <c r="F1228" s="419">
        <f t="shared" ref="F1228:R1228" si="478">F180+F294+F351+F408+F465+F523+(F820*(F1253/F1262))</f>
        <v>98202691.183225542</v>
      </c>
      <c r="G1228" s="419">
        <f t="shared" si="478"/>
        <v>29354274.325208135</v>
      </c>
      <c r="H1228" s="419">
        <f t="shared" si="478"/>
        <v>11847943.713037856</v>
      </c>
      <c r="I1228" s="419">
        <f t="shared" si="478"/>
        <v>901837.91891755245</v>
      </c>
      <c r="J1228" s="404">
        <f t="shared" si="478"/>
        <v>20498984.777143039</v>
      </c>
      <c r="K1228" s="404">
        <f t="shared" si="478"/>
        <v>4566554.2884965977</v>
      </c>
      <c r="L1228" s="404">
        <f t="shared" si="478"/>
        <v>2346047.5975360842</v>
      </c>
      <c r="M1228" s="404">
        <f t="shared" si="478"/>
        <v>18895906.391821027</v>
      </c>
      <c r="N1228" s="404">
        <f t="shared" si="478"/>
        <v>8300854.9241826497</v>
      </c>
      <c r="O1228" s="419">
        <f t="shared" si="478"/>
        <v>1783358.2797631954</v>
      </c>
      <c r="P1228" s="419">
        <f t="shared" si="478"/>
        <v>772132.27451701043</v>
      </c>
      <c r="Q1228" s="419">
        <f t="shared" si="478"/>
        <v>188.06118016850291</v>
      </c>
      <c r="R1228" s="419">
        <f t="shared" si="478"/>
        <v>6706.3013483111727</v>
      </c>
      <c r="S1228" s="419"/>
      <c r="T1228" s="446">
        <f t="shared" ref="T1228:T1236" si="479">SUM(G1228:R1228)</f>
        <v>99274788.853151634</v>
      </c>
      <c r="U1228" s="421" t="str">
        <f t="shared" ref="U1228:U1237" si="480">IF(ABS(F1228-T1228)&lt;0.01,"ok","err")</f>
        <v>err</v>
      </c>
      <c r="V1228" s="420">
        <f t="shared" ref="V1228:V1237" si="481">IF(U1228="err",T1228-F1228,"")</f>
        <v>1072097.669926092</v>
      </c>
    </row>
    <row r="1229" spans="1:30" s="418" customFormat="1" ht="12" customHeight="1" x14ac:dyDescent="0.2">
      <c r="A1229" s="418" t="s">
        <v>1184</v>
      </c>
      <c r="F1229" s="419">
        <f t="shared" ref="F1229:R1229" si="482">F181+F295+F352+F409+F466+F524+(F820*(F1254/F1262))</f>
        <v>92573491.835255951</v>
      </c>
      <c r="G1229" s="419">
        <f t="shared" si="482"/>
        <v>37823718.404102758</v>
      </c>
      <c r="H1229" s="419">
        <f t="shared" si="482"/>
        <v>13359264.278333878</v>
      </c>
      <c r="I1229" s="419">
        <f t="shared" si="482"/>
        <v>823189.57925849268</v>
      </c>
      <c r="J1229" s="404">
        <f t="shared" si="482"/>
        <v>14266712.499373335</v>
      </c>
      <c r="K1229" s="404">
        <f t="shared" si="482"/>
        <v>3309332.0363634075</v>
      </c>
      <c r="L1229" s="404">
        <f t="shared" si="482"/>
        <v>1502349.2080122535</v>
      </c>
      <c r="M1229" s="404">
        <f t="shared" si="482"/>
        <v>13462144.610527188</v>
      </c>
      <c r="N1229" s="404">
        <f t="shared" si="482"/>
        <v>6421848.3205648102</v>
      </c>
      <c r="O1229" s="419">
        <f t="shared" si="482"/>
        <v>1038958.4088244627</v>
      </c>
      <c r="P1229" s="419">
        <f t="shared" si="482"/>
        <v>0</v>
      </c>
      <c r="Q1229" s="419">
        <f t="shared" si="482"/>
        <v>0</v>
      </c>
      <c r="R1229" s="419">
        <f t="shared" si="482"/>
        <v>3693.3275344295657</v>
      </c>
      <c r="S1229" s="419"/>
      <c r="T1229" s="446">
        <f t="shared" si="479"/>
        <v>92011210.672894999</v>
      </c>
      <c r="U1229" s="421" t="str">
        <f t="shared" si="480"/>
        <v>err</v>
      </c>
      <c r="V1229" s="420">
        <f t="shared" si="481"/>
        <v>-562281.1623609513</v>
      </c>
    </row>
    <row r="1230" spans="1:30" s="418" customFormat="1" ht="12" customHeight="1" x14ac:dyDescent="0.2">
      <c r="A1230" s="418" t="s">
        <v>1185</v>
      </c>
      <c r="F1230" s="446">
        <f t="shared" ref="F1230:R1230" si="483">F182+F296+F353+F410+F467+F525+(F820*(F1255/F1262))+F822</f>
        <v>100746488.03738905</v>
      </c>
      <c r="G1230" s="446">
        <f t="shared" si="483"/>
        <v>36284878.59687718</v>
      </c>
      <c r="H1230" s="446">
        <f t="shared" si="483"/>
        <v>13844917.788767736</v>
      </c>
      <c r="I1230" s="446">
        <f t="shared" si="483"/>
        <v>729695.36992855521</v>
      </c>
      <c r="J1230" s="73">
        <f t="shared" si="483"/>
        <v>18927327.096139479</v>
      </c>
      <c r="K1230" s="73">
        <f t="shared" si="483"/>
        <v>4986096.1735081682</v>
      </c>
      <c r="L1230" s="73">
        <f t="shared" si="483"/>
        <v>2131010.6407193546</v>
      </c>
      <c r="M1230" s="73">
        <f t="shared" si="483"/>
        <v>15818435.193427622</v>
      </c>
      <c r="N1230" s="73">
        <f t="shared" si="483"/>
        <v>7117332.7993157394</v>
      </c>
      <c r="O1230" s="446">
        <f t="shared" si="483"/>
        <v>1486081.0685095196</v>
      </c>
      <c r="P1230" s="446">
        <f t="shared" si="483"/>
        <v>0</v>
      </c>
      <c r="Q1230" s="446">
        <f t="shared" si="483"/>
        <v>0</v>
      </c>
      <c r="R1230" s="446">
        <f t="shared" si="483"/>
        <v>3927.3246929433212</v>
      </c>
      <c r="S1230" s="446"/>
      <c r="T1230" s="446">
        <f t="shared" si="479"/>
        <v>101329702.05188629</v>
      </c>
      <c r="U1230" s="421" t="str">
        <f t="shared" si="480"/>
        <v>err</v>
      </c>
      <c r="V1230" s="420">
        <f t="shared" si="481"/>
        <v>583214.01449723542</v>
      </c>
      <c r="W1230" s="420"/>
    </row>
    <row r="1231" spans="1:30" s="418" customFormat="1" ht="12" customHeight="1" x14ac:dyDescent="0.2">
      <c r="A1231" s="418" t="s">
        <v>312</v>
      </c>
      <c r="F1231" s="446">
        <f t="shared" ref="F1231:R1231" si="484">F189+F303+F360+F417+F474+F532+(F820*(F1256/F1262))</f>
        <v>17400431.903389581</v>
      </c>
      <c r="G1231" s="446">
        <f t="shared" si="484"/>
        <v>5355824.8989169616</v>
      </c>
      <c r="H1231" s="446">
        <f t="shared" si="484"/>
        <v>2032563.8818803648</v>
      </c>
      <c r="I1231" s="446">
        <f t="shared" si="484"/>
        <v>158030.76592134964</v>
      </c>
      <c r="J1231" s="73">
        <f t="shared" si="484"/>
        <v>3469310.1299619791</v>
      </c>
      <c r="K1231" s="73">
        <f t="shared" si="484"/>
        <v>765686.56801768404</v>
      </c>
      <c r="L1231" s="73">
        <f t="shared" si="484"/>
        <v>432618.51389131654</v>
      </c>
      <c r="M1231" s="73">
        <f t="shared" si="484"/>
        <v>3381240.8406735626</v>
      </c>
      <c r="N1231" s="73">
        <f t="shared" si="484"/>
        <v>1459895.5651520856</v>
      </c>
      <c r="O1231" s="446">
        <f t="shared" si="484"/>
        <v>353332.24304944993</v>
      </c>
      <c r="P1231" s="446">
        <f t="shared" si="484"/>
        <v>132740.4696416205</v>
      </c>
      <c r="Q1231" s="446">
        <f t="shared" si="484"/>
        <v>34.815906616842341</v>
      </c>
      <c r="R1231" s="446">
        <f t="shared" si="484"/>
        <v>1179.7757700514346</v>
      </c>
      <c r="S1231" s="446"/>
      <c r="T1231" s="446">
        <f t="shared" si="479"/>
        <v>17542458.468783047</v>
      </c>
      <c r="U1231" s="421" t="str">
        <f t="shared" si="480"/>
        <v>err</v>
      </c>
      <c r="V1231" s="420">
        <f t="shared" si="481"/>
        <v>142026.5653934665</v>
      </c>
      <c r="W1231" s="420"/>
    </row>
    <row r="1232" spans="1:30" s="418" customFormat="1" ht="12" customHeight="1" x14ac:dyDescent="0.2">
      <c r="A1232" s="418" t="s">
        <v>1186</v>
      </c>
      <c r="F1232" s="446">
        <f t="shared" ref="F1232:R1232" si="485">F190+F304+F361+F418+F475+F533+(F820*(F1257/F1262))</f>
        <v>16402999.972097646</v>
      </c>
      <c r="G1232" s="446">
        <f t="shared" si="485"/>
        <v>6901114.6572393049</v>
      </c>
      <c r="H1232" s="446">
        <f t="shared" si="485"/>
        <v>2291837.1928755329</v>
      </c>
      <c r="I1232" s="446">
        <f t="shared" si="485"/>
        <v>144249.0684632503</v>
      </c>
      <c r="J1232" s="73">
        <f t="shared" si="485"/>
        <v>2414541.5362481847</v>
      </c>
      <c r="K1232" s="73">
        <f t="shared" si="485"/>
        <v>554884.69626587664</v>
      </c>
      <c r="L1232" s="73">
        <f t="shared" si="485"/>
        <v>277037.89232522622</v>
      </c>
      <c r="M1232" s="73">
        <f t="shared" si="485"/>
        <v>2408921.3936765958</v>
      </c>
      <c r="N1232" s="73">
        <f t="shared" si="485"/>
        <v>1129429.1936074372</v>
      </c>
      <c r="O1232" s="446">
        <f t="shared" si="485"/>
        <v>205846.18872758423</v>
      </c>
      <c r="P1232" s="446">
        <f t="shared" si="485"/>
        <v>0</v>
      </c>
      <c r="Q1232" s="446">
        <f t="shared" si="485"/>
        <v>0</v>
      </c>
      <c r="R1232" s="446">
        <f t="shared" si="485"/>
        <v>649.73196247453041</v>
      </c>
      <c r="S1232" s="446"/>
      <c r="T1232" s="446">
        <f t="shared" si="479"/>
        <v>16328511.551391466</v>
      </c>
      <c r="U1232" s="421" t="str">
        <f t="shared" si="480"/>
        <v>err</v>
      </c>
      <c r="V1232" s="420">
        <f t="shared" si="481"/>
        <v>-74488.420706180856</v>
      </c>
    </row>
    <row r="1233" spans="1:22" s="418" customFormat="1" ht="12" customHeight="1" x14ac:dyDescent="0.2">
      <c r="A1233" s="418" t="s">
        <v>1187</v>
      </c>
      <c r="F1233" s="446">
        <f t="shared" ref="F1233:R1233" si="486">F191+F305+F362+F419+F476+F534+(F820*(F1258/F1262))</f>
        <v>16845994.207795847</v>
      </c>
      <c r="G1233" s="446">
        <f t="shared" si="486"/>
        <v>6178366.1843676679</v>
      </c>
      <c r="H1233" s="446">
        <f t="shared" si="486"/>
        <v>2255016.9288067692</v>
      </c>
      <c r="I1233" s="446">
        <f t="shared" si="486"/>
        <v>120220.50827586837</v>
      </c>
      <c r="J1233" s="73">
        <f t="shared" si="486"/>
        <v>3067049.928821919</v>
      </c>
      <c r="K1233" s="73">
        <f t="shared" si="486"/>
        <v>803701.32683233148</v>
      </c>
      <c r="L1233" s="73">
        <f t="shared" si="486"/>
        <v>370239.61096353672</v>
      </c>
      <c r="M1233" s="73">
        <f t="shared" si="486"/>
        <v>2670968.2519206204</v>
      </c>
      <c r="N1233" s="73">
        <f t="shared" si="486"/>
        <v>1183869.7028490338</v>
      </c>
      <c r="O1233" s="446">
        <f t="shared" si="486"/>
        <v>273170.63258753257</v>
      </c>
      <c r="P1233" s="446">
        <f t="shared" si="486"/>
        <v>0</v>
      </c>
      <c r="Q1233" s="446">
        <f t="shared" si="486"/>
        <v>0</v>
      </c>
      <c r="R1233" s="446">
        <f t="shared" si="486"/>
        <v>652.64099234164098</v>
      </c>
      <c r="S1233" s="446"/>
      <c r="T1233" s="446">
        <f t="shared" si="479"/>
        <v>16923255.716417622</v>
      </c>
      <c r="U1233" s="421" t="str">
        <f t="shared" si="480"/>
        <v>err</v>
      </c>
      <c r="V1233" s="420">
        <f t="shared" si="481"/>
        <v>77261.508621774614</v>
      </c>
    </row>
    <row r="1234" spans="1:22" s="418" customFormat="1" ht="12" customHeight="1" x14ac:dyDescent="0.2">
      <c r="A1234" s="418" t="s">
        <v>2083</v>
      </c>
      <c r="E1234" s="418">
        <f>F1234/F1119</f>
        <v>3.378635093796175E-2</v>
      </c>
      <c r="F1234" s="446">
        <f t="shared" ref="F1234:R1234" si="487">F183+F184+F185+F297+F298+F299+F354+F355+F356+F411+F412+F413+F468+F469+F470+F526+F527+F528+(F820*(F1259/F1262))</f>
        <v>613625261.495489</v>
      </c>
      <c r="G1234" s="446">
        <f t="shared" si="487"/>
        <v>204908483.13996264</v>
      </c>
      <c r="H1234" s="446">
        <f t="shared" si="487"/>
        <v>65807426.591712877</v>
      </c>
      <c r="I1234" s="446">
        <f t="shared" si="487"/>
        <v>5431197.448065321</v>
      </c>
      <c r="J1234" s="73">
        <f t="shared" si="487"/>
        <v>106034389.03702492</v>
      </c>
      <c r="K1234" s="73">
        <f t="shared" si="487"/>
        <v>24262692.942355711</v>
      </c>
      <c r="L1234" s="73">
        <f t="shared" si="487"/>
        <v>15622772.442779388</v>
      </c>
      <c r="M1234" s="73">
        <f t="shared" si="487"/>
        <v>120667909.26262775</v>
      </c>
      <c r="N1234" s="73">
        <f t="shared" si="487"/>
        <v>50396814.189605817</v>
      </c>
      <c r="O1234" s="446">
        <f t="shared" si="487"/>
        <v>16292166.658415666</v>
      </c>
      <c r="P1234" s="446">
        <f t="shared" si="487"/>
        <v>4263130.0201853681</v>
      </c>
      <c r="Q1234" s="446">
        <f t="shared" si="487"/>
        <v>1379.773019468779</v>
      </c>
      <c r="R1234" s="446">
        <f t="shared" si="487"/>
        <v>38661.542001606387</v>
      </c>
      <c r="S1234" s="446"/>
      <c r="T1234" s="446">
        <f t="shared" si="479"/>
        <v>613727023.04775643</v>
      </c>
      <c r="U1234" s="421" t="str">
        <f t="shared" si="480"/>
        <v>err</v>
      </c>
      <c r="V1234" s="420">
        <f t="shared" si="481"/>
        <v>101761.55226743221</v>
      </c>
    </row>
    <row r="1235" spans="1:22" s="418" customFormat="1" ht="12" customHeight="1" x14ac:dyDescent="0.2">
      <c r="A1235" s="418" t="s">
        <v>1128</v>
      </c>
      <c r="F1235" s="446">
        <f t="shared" ref="F1235:R1235" si="488">F195+F198+F201+F202+F204+F209+F309+F312+F315+F316+F318+F323+F366+F369+F372+F373+F375+F380+F423+F426+F429+F430+F432+F437+F480+F483+F486+F487+F489+F494+F538+F541+F544+F545+F547+F552+(F820*(F1260/F1262))</f>
        <v>56888674.354733407</v>
      </c>
      <c r="G1235" s="446">
        <f t="shared" si="488"/>
        <v>26877035.729865238</v>
      </c>
      <c r="H1235" s="446">
        <f t="shared" si="488"/>
        <v>9085610.414351996</v>
      </c>
      <c r="I1235" s="446">
        <f t="shared" si="488"/>
        <v>709939.81695227581</v>
      </c>
      <c r="J1235" s="73">
        <f t="shared" si="488"/>
        <v>9566030.4961459227</v>
      </c>
      <c r="K1235" s="73">
        <f t="shared" si="488"/>
        <v>1890443.0464144498</v>
      </c>
      <c r="L1235" s="73">
        <f t="shared" si="488"/>
        <v>1101892.0029587471</v>
      </c>
      <c r="M1235" s="73">
        <f t="shared" si="488"/>
        <v>7099434.8675999381</v>
      </c>
      <c r="N1235" s="73">
        <f t="shared" si="488"/>
        <v>0</v>
      </c>
      <c r="O1235" s="446">
        <f t="shared" si="488"/>
        <v>0</v>
      </c>
      <c r="P1235" s="446">
        <f t="shared" si="488"/>
        <v>437301.04461134796</v>
      </c>
      <c r="Q1235" s="446">
        <f t="shared" si="488"/>
        <v>115.43787354187516</v>
      </c>
      <c r="R1235" s="446">
        <f t="shared" si="488"/>
        <v>2055.8270577673175</v>
      </c>
      <c r="S1235" s="446"/>
      <c r="T1235" s="446">
        <f t="shared" si="479"/>
        <v>56769858.683831215</v>
      </c>
      <c r="U1235" s="421" t="str">
        <f t="shared" si="480"/>
        <v>err</v>
      </c>
      <c r="V1235" s="420">
        <f t="shared" si="481"/>
        <v>-118815.67090219259</v>
      </c>
    </row>
    <row r="1236" spans="1:22" s="418" customFormat="1" ht="12" customHeight="1" x14ac:dyDescent="0.2">
      <c r="A1236" s="418" t="s">
        <v>1754</v>
      </c>
      <c r="F1236" s="477">
        <f t="shared" ref="F1236:R1236" si="489">F203+F205+F210+F214+F217+F220+F223+F226+F229+F317+F319+F324+F328+F331+F334+F337+F340+F343+F374+F376+F381+F385+F388+F391+F394+F397+F400+F431+F433+F438+F442+F445+F448+F451+F454+F457+F488+F490+F495+F499+F502+F505+F508+F511+F514+F546+F548+F553+F557+F560+F563+F566+F569+F572+(F820*(F1261/F1262))</f>
        <v>132314835.91408767</v>
      </c>
      <c r="G1236" s="477">
        <f t="shared" si="489"/>
        <v>84936660.274672076</v>
      </c>
      <c r="H1236" s="477">
        <f t="shared" si="489"/>
        <v>28434162.568495274</v>
      </c>
      <c r="I1236" s="477">
        <f t="shared" si="489"/>
        <v>675452.43525158451</v>
      </c>
      <c r="J1236" s="478">
        <f t="shared" si="489"/>
        <v>4065812.8963052141</v>
      </c>
      <c r="K1236" s="478">
        <f t="shared" si="489"/>
        <v>493602.87030760653</v>
      </c>
      <c r="L1236" s="478">
        <f t="shared" si="489"/>
        <v>326355.39517543785</v>
      </c>
      <c r="M1236" s="478">
        <f t="shared" si="489"/>
        <v>575670.24410986959</v>
      </c>
      <c r="N1236" s="478">
        <f t="shared" si="489"/>
        <v>369533.18152291403</v>
      </c>
      <c r="O1236" s="477">
        <f t="shared" si="489"/>
        <v>13922.309712742195</v>
      </c>
      <c r="P1236" s="477">
        <f t="shared" si="489"/>
        <v>11168675.401365671</v>
      </c>
      <c r="Q1236" s="477">
        <f t="shared" si="489"/>
        <v>460.82049915154045</v>
      </c>
      <c r="R1236" s="477">
        <f t="shared" si="489"/>
        <v>33751.461520881159</v>
      </c>
      <c r="S1236" s="477"/>
      <c r="T1236" s="477">
        <f t="shared" si="479"/>
        <v>131094059.85893843</v>
      </c>
      <c r="U1236" s="421" t="str">
        <f t="shared" si="480"/>
        <v>err</v>
      </c>
      <c r="V1236" s="420">
        <f t="shared" si="481"/>
        <v>-1220776.0551492423</v>
      </c>
    </row>
    <row r="1237" spans="1:22" s="418" customFormat="1" ht="12" customHeight="1" x14ac:dyDescent="0.2">
      <c r="A1237" s="418" t="s">
        <v>82</v>
      </c>
      <c r="F1237" s="420">
        <f>SUM(F1228:F1236)</f>
        <v>1145000868.9034638</v>
      </c>
      <c r="G1237" s="420">
        <f t="shared" ref="G1237:T1237" si="490">SUM(G1228:G1236)</f>
        <v>438620356.21121204</v>
      </c>
      <c r="H1237" s="420">
        <f t="shared" si="490"/>
        <v>148958743.3582623</v>
      </c>
      <c r="I1237" s="420">
        <f>SUM(I1228:I1236)</f>
        <v>9693812.9110342488</v>
      </c>
      <c r="J1237" s="62">
        <f t="shared" si="490"/>
        <v>182310158.39716399</v>
      </c>
      <c r="K1237" s="62">
        <f t="shared" si="490"/>
        <v>41632993.948561832</v>
      </c>
      <c r="L1237" s="62">
        <f t="shared" si="490"/>
        <v>24110323.304361347</v>
      </c>
      <c r="M1237" s="62">
        <f t="shared" si="490"/>
        <v>184980631.05638418</v>
      </c>
      <c r="N1237" s="62">
        <f>SUM(N1228:N1236)</f>
        <v>76379577.876800492</v>
      </c>
      <c r="O1237" s="420">
        <f t="shared" si="490"/>
        <v>21446835.789590154</v>
      </c>
      <c r="P1237" s="420">
        <f t="shared" si="490"/>
        <v>16773979.210321018</v>
      </c>
      <c r="Q1237" s="420">
        <f t="shared" si="490"/>
        <v>2178.9084789475401</v>
      </c>
      <c r="R1237" s="420">
        <f t="shared" si="490"/>
        <v>91277.932880806533</v>
      </c>
      <c r="S1237" s="420"/>
      <c r="T1237" s="420">
        <f t="shared" si="490"/>
        <v>1145000868.9050512</v>
      </c>
      <c r="U1237" s="421" t="str">
        <f t="shared" si="480"/>
        <v>ok</v>
      </c>
      <c r="V1237" s="420" t="str">
        <f t="shared" si="481"/>
        <v/>
      </c>
    </row>
    <row r="1238" spans="1:22" s="418" customFormat="1" ht="12" customHeight="1" x14ac:dyDescent="0.2">
      <c r="J1238" s="55"/>
      <c r="K1238" s="55"/>
      <c r="L1238" s="55"/>
      <c r="M1238" s="55"/>
      <c r="N1238" s="55"/>
    </row>
    <row r="1239" spans="1:22" s="418" customFormat="1" ht="12" customHeight="1" x14ac:dyDescent="0.2">
      <c r="A1239" s="417" t="s">
        <v>722</v>
      </c>
      <c r="J1239" s="55"/>
      <c r="K1239" s="55"/>
      <c r="L1239" s="55"/>
      <c r="M1239" s="55"/>
      <c r="N1239" s="55"/>
    </row>
    <row r="1240" spans="1:22" s="418" customFormat="1" ht="12" customHeight="1" x14ac:dyDescent="0.2">
      <c r="A1240" s="418" t="s">
        <v>311</v>
      </c>
      <c r="F1240" s="420">
        <f t="shared" ref="F1240:R1240" si="491">F1228+(F965*(F1253/F1262))+((F848-(F956-F654-F657-F953-F954))*(F1228/F1237))-((F654+F657)*(F1228/(F1228+F1229+F1230+F1234)))</f>
        <v>-10308860.602308551</v>
      </c>
      <c r="G1240" s="420">
        <f t="shared" si="491"/>
        <v>-2430318.0025859261</v>
      </c>
      <c r="H1240" s="420">
        <f t="shared" si="491"/>
        <v>-2225998.351580794</v>
      </c>
      <c r="I1240" s="420">
        <f t="shared" si="491"/>
        <v>-108418.35370028281</v>
      </c>
      <c r="J1240" s="62">
        <f t="shared" si="491"/>
        <v>-3782752.2838976961</v>
      </c>
      <c r="K1240" s="62">
        <f t="shared" si="491"/>
        <v>-613807.95067026769</v>
      </c>
      <c r="L1240" s="62">
        <f t="shared" si="491"/>
        <v>-187730.83521708401</v>
      </c>
      <c r="M1240" s="62">
        <f t="shared" si="491"/>
        <v>-1527736.1569005509</v>
      </c>
      <c r="N1240" s="62">
        <f t="shared" si="491"/>
        <v>-638574.45513013226</v>
      </c>
      <c r="O1240" s="420">
        <f t="shared" si="491"/>
        <v>1408407.2380533027</v>
      </c>
      <c r="P1240" s="420">
        <f t="shared" si="491"/>
        <v>-290051.39524911076</v>
      </c>
      <c r="Q1240" s="420">
        <f t="shared" si="491"/>
        <v>3.0050007778273855</v>
      </c>
      <c r="R1240" s="420">
        <f t="shared" si="491"/>
        <v>-1166.9214921279317</v>
      </c>
      <c r="S1240" s="420"/>
      <c r="T1240" s="446">
        <f t="shared" ref="T1240:T1248" si="492">SUM(G1240:R1240)</f>
        <v>-10398144.463369893</v>
      </c>
      <c r="U1240" s="421" t="str">
        <f t="shared" ref="U1240:U1248" si="493">IF(ABS(F1240-T1240)&lt;0.01,"ok","err")</f>
        <v>err</v>
      </c>
      <c r="V1240" s="420">
        <f t="shared" ref="V1240:V1248" si="494">IF(U1240="err",T1240-F1240,"")</f>
        <v>-89283.861061342061</v>
      </c>
    </row>
    <row r="1241" spans="1:22" s="418" customFormat="1" ht="12" customHeight="1" x14ac:dyDescent="0.2">
      <c r="A1241" s="418" t="s">
        <v>1184</v>
      </c>
      <c r="F1241" s="420">
        <f t="shared" ref="F1241:R1241" si="495">F1229+(F965*(F1254/F1262))+((F848-(F956-F654-F657-F953-F954))*(F1229/F1237))-((F654+F657)*(F1229/(F1228+F1229+F1230+F1234)))</f>
        <v>-9717933.5036555044</v>
      </c>
      <c r="G1241" s="420">
        <f t="shared" si="495"/>
        <v>-3131525.6764256549</v>
      </c>
      <c r="H1241" s="420">
        <f t="shared" si="495"/>
        <v>-2509946.1123518883</v>
      </c>
      <c r="I1241" s="420">
        <f t="shared" si="495"/>
        <v>-98963.302711374927</v>
      </c>
      <c r="J1241" s="62">
        <f t="shared" si="495"/>
        <v>-2632688.392982835</v>
      </c>
      <c r="K1241" s="62">
        <f t="shared" si="495"/>
        <v>-444819.92044737714</v>
      </c>
      <c r="L1241" s="62">
        <f t="shared" si="495"/>
        <v>-120218.05180085535</v>
      </c>
      <c r="M1241" s="62">
        <f t="shared" si="495"/>
        <v>-1088415.9057767377</v>
      </c>
      <c r="N1241" s="62">
        <f t="shared" si="495"/>
        <v>-494024.81186440284</v>
      </c>
      <c r="O1241" s="420">
        <f t="shared" si="495"/>
        <v>820517.42469775479</v>
      </c>
      <c r="P1241" s="420">
        <f t="shared" si="495"/>
        <v>0</v>
      </c>
      <c r="Q1241" s="420">
        <f t="shared" si="495"/>
        <v>0</v>
      </c>
      <c r="R1241" s="420">
        <f t="shared" si="495"/>
        <v>-642.65279079340144</v>
      </c>
      <c r="S1241" s="420"/>
      <c r="T1241" s="446">
        <f t="shared" si="492"/>
        <v>-9700727.4024541639</v>
      </c>
      <c r="U1241" s="421" t="str">
        <f t="shared" si="493"/>
        <v>err</v>
      </c>
      <c r="V1241" s="420">
        <f t="shared" si="494"/>
        <v>17206.101201340556</v>
      </c>
    </row>
    <row r="1242" spans="1:22" s="418" customFormat="1" ht="12" customHeight="1" x14ac:dyDescent="0.2">
      <c r="A1242" s="418" t="s">
        <v>1185</v>
      </c>
      <c r="F1242" s="420">
        <f t="shared" ref="F1242:R1242" si="496">F1230+(F965*(F1255/F1262))+((F848-(F956-F654-F657-F953-F954))*(F1230/F1237))-((F654+F657)*(F1230/(F1228+F1229+F1230+F1234)))</f>
        <v>-10978223.506593246</v>
      </c>
      <c r="G1242" s="420">
        <f t="shared" si="496"/>
        <v>-3154179.7999234102</v>
      </c>
      <c r="H1242" s="420">
        <f t="shared" si="496"/>
        <v>-2647068.9257779066</v>
      </c>
      <c r="I1242" s="420">
        <f t="shared" si="496"/>
        <v>-90845.464178266615</v>
      </c>
      <c r="J1242" s="62">
        <f t="shared" si="496"/>
        <v>-3550030.5738963056</v>
      </c>
      <c r="K1242" s="62">
        <f t="shared" si="496"/>
        <v>-682935.35451210965</v>
      </c>
      <c r="L1242" s="62">
        <f t="shared" si="496"/>
        <v>-181040.75631384173</v>
      </c>
      <c r="M1242" s="62">
        <f t="shared" si="496"/>
        <v>-1342193.6930113663</v>
      </c>
      <c r="N1242" s="62">
        <f t="shared" si="496"/>
        <v>-574622.62233479985</v>
      </c>
      <c r="O1242" s="420">
        <f t="shared" si="496"/>
        <v>1120149.3817190137</v>
      </c>
      <c r="P1242" s="420">
        <f t="shared" si="496"/>
        <v>0</v>
      </c>
      <c r="Q1242" s="420">
        <f t="shared" si="496"/>
        <v>0</v>
      </c>
      <c r="R1242" s="420">
        <f t="shared" si="496"/>
        <v>-699.17275217855695</v>
      </c>
      <c r="S1242" s="420"/>
      <c r="T1242" s="446">
        <f t="shared" si="492"/>
        <v>-11103466.980981173</v>
      </c>
      <c r="U1242" s="421" t="str">
        <f t="shared" si="493"/>
        <v>err</v>
      </c>
      <c r="V1242" s="420">
        <f t="shared" si="494"/>
        <v>-125243.47438792698</v>
      </c>
    </row>
    <row r="1243" spans="1:22" s="418" customFormat="1" ht="12" customHeight="1" x14ac:dyDescent="0.2">
      <c r="A1243" s="418" t="s">
        <v>312</v>
      </c>
      <c r="F1243" s="420">
        <f t="shared" ref="F1243:R1243" si="497">F1231+(F965*(F1256/F1262))+((F848-(F956-F654-F657-F953-F954))*(F1231/F1237))</f>
        <v>-1566215.6266158298</v>
      </c>
      <c r="G1243" s="420">
        <f t="shared" si="497"/>
        <v>-310905.67400418315</v>
      </c>
      <c r="H1243" s="420">
        <f t="shared" si="497"/>
        <v>-342957.21199783636</v>
      </c>
      <c r="I1243" s="420">
        <f t="shared" si="497"/>
        <v>-17592.478435467317</v>
      </c>
      <c r="J1243" s="62">
        <f t="shared" si="497"/>
        <v>-603492.37352645956</v>
      </c>
      <c r="K1243" s="62">
        <f t="shared" si="497"/>
        <v>-94377.145721947425</v>
      </c>
      <c r="L1243" s="62">
        <f t="shared" si="497"/>
        <v>-31841.824563385337</v>
      </c>
      <c r="M1243" s="62">
        <f t="shared" si="497"/>
        <v>-242091.37395539694</v>
      </c>
      <c r="N1243" s="62">
        <f t="shared" si="497"/>
        <v>-98916.255861463957</v>
      </c>
      <c r="O1243" s="420">
        <f t="shared" si="497"/>
        <v>231138.7686654838</v>
      </c>
      <c r="P1243" s="420">
        <f t="shared" si="497"/>
        <v>-47140.394227546582</v>
      </c>
      <c r="Q1243" s="420">
        <f t="shared" si="497"/>
        <v>0.75830240286661166</v>
      </c>
      <c r="R1243" s="420">
        <f t="shared" si="497"/>
        <v>-194.35540222342911</v>
      </c>
      <c r="S1243" s="420"/>
      <c r="T1243" s="446">
        <f t="shared" si="492"/>
        <v>-1558369.5607280238</v>
      </c>
      <c r="U1243" s="421" t="str">
        <f t="shared" si="493"/>
        <v>err</v>
      </c>
      <c r="V1243" s="420">
        <f t="shared" si="494"/>
        <v>7846.0658878060058</v>
      </c>
    </row>
    <row r="1244" spans="1:22" s="418" customFormat="1" ht="12" customHeight="1" x14ac:dyDescent="0.2">
      <c r="A1244" s="418" t="s">
        <v>1186</v>
      </c>
      <c r="F1244" s="420">
        <f t="shared" ref="F1244:R1244" si="498">F1232+(F965*(F1257/F1262))+((F848-(F956-F654-F657-F953-F954))*(F1232/F1237))</f>
        <v>-1476436.620787207</v>
      </c>
      <c r="G1244" s="420">
        <f t="shared" si="498"/>
        <v>-400609.75561822578</v>
      </c>
      <c r="H1244" s="420">
        <f t="shared" si="498"/>
        <v>-386704.74322036793</v>
      </c>
      <c r="I1244" s="420">
        <f t="shared" si="498"/>
        <v>-16058.256830438768</v>
      </c>
      <c r="J1244" s="62">
        <f t="shared" si="498"/>
        <v>-420013.59005186753</v>
      </c>
      <c r="K1244" s="62">
        <f t="shared" si="498"/>
        <v>-68394.087118364754</v>
      </c>
      <c r="L1244" s="62">
        <f t="shared" si="498"/>
        <v>-20390.694530114357</v>
      </c>
      <c r="M1244" s="62">
        <f t="shared" si="498"/>
        <v>-172474.87458762154</v>
      </c>
      <c r="N1244" s="62">
        <f t="shared" si="498"/>
        <v>-76525.273285998264</v>
      </c>
      <c r="O1244" s="420">
        <f t="shared" si="498"/>
        <v>134658.06060138645</v>
      </c>
      <c r="P1244" s="420">
        <f t="shared" si="498"/>
        <v>0</v>
      </c>
      <c r="Q1244" s="420">
        <f t="shared" si="498"/>
        <v>0</v>
      </c>
      <c r="R1244" s="420">
        <f t="shared" si="498"/>
        <v>-107.03637090177733</v>
      </c>
      <c r="S1244" s="420"/>
      <c r="T1244" s="446">
        <f t="shared" si="492"/>
        <v>-1426620.2510125141</v>
      </c>
      <c r="U1244" s="421" t="str">
        <f t="shared" si="493"/>
        <v>err</v>
      </c>
      <c r="V1244" s="420">
        <f t="shared" si="494"/>
        <v>49816.369774692925</v>
      </c>
    </row>
    <row r="1245" spans="1:22" s="418" customFormat="1" ht="12" customHeight="1" x14ac:dyDescent="0.2">
      <c r="A1245" s="418" t="s">
        <v>1187</v>
      </c>
      <c r="F1245" s="420">
        <f t="shared" ref="F1245:R1245" si="499">F1233+(F965*(F1258/F1262))+((F848-(F956-F654-F657-F953-F954))*(F1233/F1237))</f>
        <v>-1516310.6019793674</v>
      </c>
      <c r="G1245" s="420">
        <f t="shared" si="499"/>
        <v>-358654.20155612659</v>
      </c>
      <c r="H1245" s="420">
        <f t="shared" si="499"/>
        <v>-380492.01100436272</v>
      </c>
      <c r="I1245" s="420">
        <f t="shared" si="499"/>
        <v>-13383.322462644661</v>
      </c>
      <c r="J1245" s="62">
        <f t="shared" si="499"/>
        <v>-533518.53017798206</v>
      </c>
      <c r="K1245" s="62">
        <f t="shared" si="499"/>
        <v>-99062.776346921222</v>
      </c>
      <c r="L1245" s="62">
        <f t="shared" si="499"/>
        <v>-27250.578419948579</v>
      </c>
      <c r="M1245" s="62">
        <f t="shared" si="499"/>
        <v>-191237.00569341797</v>
      </c>
      <c r="N1245" s="62">
        <f t="shared" si="499"/>
        <v>-80213.92846785672</v>
      </c>
      <c r="O1245" s="420">
        <f t="shared" si="499"/>
        <v>178699.58061828194</v>
      </c>
      <c r="P1245" s="420">
        <f t="shared" si="499"/>
        <v>0</v>
      </c>
      <c r="Q1245" s="420">
        <f t="shared" si="499"/>
        <v>0</v>
      </c>
      <c r="R1245" s="420">
        <f t="shared" si="499"/>
        <v>-107.51560236614068</v>
      </c>
      <c r="S1245" s="420"/>
      <c r="T1245" s="446">
        <f t="shared" si="492"/>
        <v>-1505220.2891133446</v>
      </c>
      <c r="U1245" s="421" t="str">
        <f t="shared" si="493"/>
        <v>err</v>
      </c>
      <c r="V1245" s="420">
        <f t="shared" si="494"/>
        <v>11090.31286602281</v>
      </c>
    </row>
    <row r="1246" spans="1:22" s="418" customFormat="1" ht="12" customHeight="1" x14ac:dyDescent="0.2">
      <c r="A1246" s="418" t="s">
        <v>2083</v>
      </c>
      <c r="E1246" s="418">
        <f>F1246/F1119</f>
        <v>-5.9109869864670097E-3</v>
      </c>
      <c r="F1246" s="420">
        <f t="shared" ref="F1246:R1246" si="500">F1234+(F965*(F1259/F1262))+((F848-(F956-F654-F657-F953-F954))*(F1234/F1237))-((F654+F657)*(F1234/(F1228+F1229+F1230+F1234)))</f>
        <v>-107354918.02377129</v>
      </c>
      <c r="G1246" s="420">
        <f t="shared" si="500"/>
        <v>-29506724.975948006</v>
      </c>
      <c r="H1246" s="420">
        <f t="shared" si="500"/>
        <v>-16609642.320707209</v>
      </c>
      <c r="I1246" s="420">
        <f t="shared" si="500"/>
        <v>-1036156.5823598921</v>
      </c>
      <c r="J1246" s="62">
        <f t="shared" si="500"/>
        <v>-26991312.92723868</v>
      </c>
      <c r="K1246" s="62">
        <f t="shared" si="500"/>
        <v>-4836686.2257042211</v>
      </c>
      <c r="L1246" s="62">
        <f t="shared" si="500"/>
        <v>-2568073.6342476117</v>
      </c>
      <c r="M1246" s="62">
        <f t="shared" si="500"/>
        <v>-18206864.389417913</v>
      </c>
      <c r="N1246" s="62">
        <f t="shared" si="500"/>
        <v>-7366556.5506203249</v>
      </c>
      <c r="O1246" s="420">
        <f t="shared" si="500"/>
        <v>4821388.1592721902</v>
      </c>
      <c r="P1246" s="420">
        <f t="shared" si="500"/>
        <v>-1801991.0761319301</v>
      </c>
      <c r="Q1246" s="420">
        <f t="shared" si="500"/>
        <v>-107.51237050908557</v>
      </c>
      <c r="R1246" s="420">
        <f t="shared" si="500"/>
        <v>-9498.4081132207757</v>
      </c>
      <c r="S1246" s="420"/>
      <c r="T1246" s="446">
        <f t="shared" si="492"/>
        <v>-104112226.44358735</v>
      </c>
      <c r="U1246" s="421" t="str">
        <f t="shared" si="493"/>
        <v>err</v>
      </c>
      <c r="V1246" s="420">
        <f t="shared" si="494"/>
        <v>3242691.5801839381</v>
      </c>
    </row>
    <row r="1247" spans="1:22" s="418" customFormat="1" ht="12" customHeight="1" x14ac:dyDescent="0.2">
      <c r="A1247" s="418" t="s">
        <v>1128</v>
      </c>
      <c r="F1247" s="420">
        <f t="shared" ref="F1247:R1247" si="501">F1235+(F965*(F1260/F1262))+((F848-(F956-F654-F657-F953-F954))*(F1235/F1237))</f>
        <v>-5134537.0326797813</v>
      </c>
      <c r="G1247" s="420">
        <f t="shared" si="501"/>
        <v>-1527936.1895018257</v>
      </c>
      <c r="H1247" s="420">
        <f t="shared" si="501"/>
        <v>-1531148.2313113324</v>
      </c>
      <c r="I1247" s="420">
        <f t="shared" si="501"/>
        <v>-79941.940840827068</v>
      </c>
      <c r="J1247" s="62">
        <f t="shared" si="501"/>
        <v>-1672339.1341025457</v>
      </c>
      <c r="K1247" s="62">
        <f t="shared" si="501"/>
        <v>-240708.2403995425</v>
      </c>
      <c r="L1247" s="62">
        <f t="shared" si="501"/>
        <v>-82366.945797502063</v>
      </c>
      <c r="M1247" s="62">
        <f t="shared" si="501"/>
        <v>-543637.59050710406</v>
      </c>
      <c r="N1247" s="62">
        <f t="shared" si="501"/>
        <v>0</v>
      </c>
      <c r="O1247" s="420">
        <f t="shared" si="501"/>
        <v>0</v>
      </c>
      <c r="P1247" s="420">
        <f t="shared" si="501"/>
        <v>-155723.97591459932</v>
      </c>
      <c r="Q1247" s="420">
        <f t="shared" si="501"/>
        <v>2.2594285808211367</v>
      </c>
      <c r="R1247" s="420">
        <f t="shared" si="501"/>
        <v>-341.31822198030932</v>
      </c>
      <c r="S1247" s="420"/>
      <c r="T1247" s="446">
        <f t="shared" si="492"/>
        <v>-5834141.3071686784</v>
      </c>
      <c r="U1247" s="421" t="str">
        <f t="shared" si="493"/>
        <v>err</v>
      </c>
      <c r="V1247" s="420">
        <f t="shared" si="494"/>
        <v>-699604.27448889706</v>
      </c>
    </row>
    <row r="1248" spans="1:22" s="418" customFormat="1" ht="12" customHeight="1" x14ac:dyDescent="0.2">
      <c r="A1248" s="418" t="s">
        <v>1754</v>
      </c>
      <c r="F1248" s="425">
        <f t="shared" ref="F1248:R1248" si="502">F1236+(F965*(F1261/F1262))+((F848-(F956-F654-F657-F953-F954))*(F1236/F1237))</f>
        <v>-14802282.334478676</v>
      </c>
      <c r="G1248" s="425">
        <f t="shared" si="502"/>
        <v>-6631570.7751576602</v>
      </c>
      <c r="H1248" s="425">
        <f t="shared" si="502"/>
        <v>-5501264.4002509415</v>
      </c>
      <c r="I1248" s="425">
        <f t="shared" si="502"/>
        <v>-104701.65616375033</v>
      </c>
      <c r="J1248" s="416">
        <f t="shared" si="502"/>
        <v>-854037.79842588818</v>
      </c>
      <c r="K1248" s="416">
        <f t="shared" si="502"/>
        <v>-74793.263226834708</v>
      </c>
      <c r="L1248" s="416">
        <f t="shared" si="502"/>
        <v>-41851.382408670324</v>
      </c>
      <c r="M1248" s="416">
        <f t="shared" si="502"/>
        <v>-64391.62336500769</v>
      </c>
      <c r="N1248" s="416">
        <f t="shared" si="502"/>
        <v>-35641.45382005244</v>
      </c>
      <c r="O1248" s="425">
        <f t="shared" si="502"/>
        <v>6019.6786651202219</v>
      </c>
      <c r="P1248" s="425">
        <f t="shared" si="502"/>
        <v>-3908485.2619061507</v>
      </c>
      <c r="Q1248" s="425">
        <f t="shared" si="502"/>
        <v>-0.79731094250507795</v>
      </c>
      <c r="R1248" s="425">
        <f t="shared" si="502"/>
        <v>-6082.4775099891849</v>
      </c>
      <c r="S1248" s="425"/>
      <c r="T1248" s="477">
        <f t="shared" si="492"/>
        <v>-17216801.210880768</v>
      </c>
      <c r="U1248" s="421" t="str">
        <f t="shared" si="493"/>
        <v>err</v>
      </c>
      <c r="V1248" s="420">
        <f t="shared" si="494"/>
        <v>-2414518.8764020912</v>
      </c>
    </row>
    <row r="1249" spans="1:22" s="418" customFormat="1" ht="12" customHeight="1" x14ac:dyDescent="0.2">
      <c r="F1249" s="429"/>
      <c r="G1249" s="429"/>
      <c r="H1249" s="429"/>
      <c r="I1249" s="429"/>
      <c r="J1249" s="76"/>
      <c r="K1249" s="76"/>
      <c r="L1249" s="76"/>
      <c r="M1249" s="76"/>
      <c r="N1249" s="76"/>
      <c r="O1249" s="429"/>
      <c r="P1249" s="429"/>
      <c r="Q1249" s="429"/>
      <c r="R1249" s="429"/>
      <c r="S1249" s="429"/>
      <c r="T1249" s="479"/>
      <c r="U1249" s="421"/>
      <c r="V1249" s="429"/>
    </row>
    <row r="1250" spans="1:22" s="418" customFormat="1" ht="12" customHeight="1" x14ac:dyDescent="0.2">
      <c r="A1250" s="418" t="s">
        <v>82</v>
      </c>
      <c r="E1250" s="420">
        <f>F967-E669+F822</f>
        <v>1124840817.843812</v>
      </c>
      <c r="F1250" s="479">
        <f>SUM(F1240:F1248)</f>
        <v>-162855717.85286945</v>
      </c>
      <c r="G1250" s="479">
        <f t="shared" ref="G1250:T1250" si="503">SUM(G1240:G1248)</f>
        <v>-47452425.05072102</v>
      </c>
      <c r="H1250" s="479">
        <f t="shared" si="503"/>
        <v>-32135222.308202639</v>
      </c>
      <c r="I1250" s="479">
        <f>SUM(I1240:I1248)</f>
        <v>-1566061.3576829447</v>
      </c>
      <c r="J1250" s="480">
        <f t="shared" si="503"/>
        <v>-41040185.604300261</v>
      </c>
      <c r="K1250" s="480">
        <f t="shared" si="503"/>
        <v>-7155584.9641475864</v>
      </c>
      <c r="L1250" s="480">
        <f t="shared" si="503"/>
        <v>-3260764.7032990134</v>
      </c>
      <c r="M1250" s="480">
        <f>SUM(M1240:M1248)</f>
        <v>-23379042.613215115</v>
      </c>
      <c r="N1250" s="480">
        <f>SUM(N1240:N1248)</f>
        <v>-9365075.3513850309</v>
      </c>
      <c r="O1250" s="479">
        <f t="shared" si="503"/>
        <v>8720978.2922925334</v>
      </c>
      <c r="P1250" s="479">
        <f t="shared" si="503"/>
        <v>-6203392.103429338</v>
      </c>
      <c r="Q1250" s="479">
        <f t="shared" si="503"/>
        <v>-102.28694969007552</v>
      </c>
      <c r="R1250" s="479">
        <f t="shared" si="503"/>
        <v>-18839.85825578151</v>
      </c>
      <c r="S1250" s="479"/>
      <c r="T1250" s="479">
        <f t="shared" si="503"/>
        <v>-162855717.90929592</v>
      </c>
      <c r="U1250" s="421" t="str">
        <f>IF(ABS(F1250-T1250)&lt;0.01,"ok","err")</f>
        <v>err</v>
      </c>
      <c r="V1250" s="420">
        <f>IF(U1250="err",T1250-F1250,"")</f>
        <v>-5.6426465511322021E-2</v>
      </c>
    </row>
    <row r="1251" spans="1:22" s="418" customFormat="1" ht="12" customHeight="1" x14ac:dyDescent="0.2">
      <c r="E1251" s="481">
        <f>F1250-E1250</f>
        <v>-1287696535.6966815</v>
      </c>
      <c r="J1251" s="55"/>
      <c r="K1251" s="55"/>
      <c r="L1251" s="55"/>
      <c r="M1251" s="55"/>
      <c r="N1251" s="55"/>
      <c r="T1251" s="481"/>
    </row>
    <row r="1252" spans="1:22" s="418" customFormat="1" ht="12" customHeight="1" x14ac:dyDescent="0.2">
      <c r="A1252" s="417" t="s">
        <v>210</v>
      </c>
      <c r="J1252" s="55"/>
      <c r="K1252" s="55"/>
      <c r="L1252" s="55"/>
      <c r="M1252" s="55"/>
      <c r="N1252" s="55"/>
    </row>
    <row r="1253" spans="1:22" s="418" customFormat="1" ht="12" customHeight="1" x14ac:dyDescent="0.2">
      <c r="A1253" s="418" t="s">
        <v>311</v>
      </c>
      <c r="F1253" s="420">
        <f t="shared" ref="F1253:R1253" si="504">F123</f>
        <v>795163003.29038906</v>
      </c>
      <c r="G1253" s="420">
        <f t="shared" si="504"/>
        <v>265677637.016184</v>
      </c>
      <c r="H1253" s="420">
        <f t="shared" si="504"/>
        <v>83845011.27665557</v>
      </c>
      <c r="I1253" s="420">
        <f t="shared" si="504"/>
        <v>6982712.7850452</v>
      </c>
      <c r="J1253" s="62">
        <f t="shared" si="504"/>
        <v>136487068.59619087</v>
      </c>
      <c r="K1253" s="62">
        <f t="shared" si="504"/>
        <v>29106622.036671687</v>
      </c>
      <c r="L1253" s="62">
        <f t="shared" si="504"/>
        <v>22061230.878919199</v>
      </c>
      <c r="M1253" s="62">
        <f t="shared" si="504"/>
        <v>158996357.36373758</v>
      </c>
      <c r="N1253" s="62">
        <f t="shared" si="504"/>
        <v>65235096.50791312</v>
      </c>
      <c r="O1253" s="420">
        <f t="shared" si="504"/>
        <v>21202181.577596877</v>
      </c>
      <c r="P1253" s="420">
        <f t="shared" si="504"/>
        <v>5514530.50435232</v>
      </c>
      <c r="Q1253" s="420">
        <f t="shared" si="504"/>
        <v>1793.2268559533247</v>
      </c>
      <c r="R1253" s="420">
        <f t="shared" si="504"/>
        <v>52761.520266623156</v>
      </c>
      <c r="T1253" s="446">
        <f t="shared" ref="T1253:T1261" si="505">SUM(G1253:R1253)</f>
        <v>795163003.29038918</v>
      </c>
      <c r="U1253" s="421" t="str">
        <f t="shared" ref="U1253:U1262" si="506">IF(ABS(F1253-T1253)&lt;0.01,"ok","err")</f>
        <v>ok</v>
      </c>
      <c r="V1253" s="420" t="str">
        <f t="shared" ref="V1253:V1262" si="507">IF(U1253="err",T1253-F1253,"")</f>
        <v/>
      </c>
    </row>
    <row r="1254" spans="1:22" s="418" customFormat="1" ht="12" customHeight="1" x14ac:dyDescent="0.2">
      <c r="A1254" s="418" t="s">
        <v>1184</v>
      </c>
      <c r="F1254" s="420">
        <f t="shared" ref="F1254:R1254" si="508">F124</f>
        <v>749582469.74574006</v>
      </c>
      <c r="G1254" s="420">
        <f t="shared" si="508"/>
        <v>342332296.05468428</v>
      </c>
      <c r="H1254" s="420">
        <f t="shared" si="508"/>
        <v>94540258.731320918</v>
      </c>
      <c r="I1254" s="420">
        <f t="shared" si="508"/>
        <v>6373757.7219014186</v>
      </c>
      <c r="J1254" s="62">
        <f t="shared" si="508"/>
        <v>94991131.937192857</v>
      </c>
      <c r="K1254" s="62">
        <f t="shared" si="508"/>
        <v>21093251.211076785</v>
      </c>
      <c r="L1254" s="62">
        <f t="shared" si="508"/>
        <v>14127451.111191677</v>
      </c>
      <c r="M1254" s="62">
        <f t="shared" si="508"/>
        <v>113274902.56324333</v>
      </c>
      <c r="N1254" s="62">
        <f t="shared" si="508"/>
        <v>50468282.93923898</v>
      </c>
      <c r="O1254" s="420">
        <f t="shared" si="508"/>
        <v>12352080.389809506</v>
      </c>
      <c r="P1254" s="420">
        <f t="shared" si="508"/>
        <v>0</v>
      </c>
      <c r="Q1254" s="420">
        <f t="shared" si="508"/>
        <v>0</v>
      </c>
      <c r="R1254" s="420">
        <f t="shared" si="508"/>
        <v>29057.086080415287</v>
      </c>
      <c r="S1254" s="420"/>
      <c r="T1254" s="446">
        <f t="shared" si="505"/>
        <v>749582469.74574018</v>
      </c>
      <c r="U1254" s="421" t="str">
        <f t="shared" si="506"/>
        <v>ok</v>
      </c>
      <c r="V1254" s="420" t="str">
        <f t="shared" si="507"/>
        <v/>
      </c>
    </row>
    <row r="1255" spans="1:22" s="418" customFormat="1" ht="12" customHeight="1" x14ac:dyDescent="0.2">
      <c r="A1255" s="418" t="s">
        <v>1185</v>
      </c>
      <c r="F1255" s="420">
        <f t="shared" ref="F1255:R1255" si="509">F125</f>
        <v>769826371.09565389</v>
      </c>
      <c r="G1255" s="420">
        <f t="shared" si="509"/>
        <v>306480095.87009257</v>
      </c>
      <c r="H1255" s="420">
        <f t="shared" si="509"/>
        <v>93021391.116100445</v>
      </c>
      <c r="I1255" s="420">
        <f t="shared" si="509"/>
        <v>5312037.0281590084</v>
      </c>
      <c r="J1255" s="62">
        <f t="shared" si="509"/>
        <v>120661641.1740761</v>
      </c>
      <c r="K1255" s="62">
        <f t="shared" si="509"/>
        <v>30551705.786146086</v>
      </c>
      <c r="L1255" s="62">
        <f t="shared" si="509"/>
        <v>18880240.386660334</v>
      </c>
      <c r="M1255" s="62">
        <f t="shared" si="509"/>
        <v>125597152.85024504</v>
      </c>
      <c r="N1255" s="62">
        <f t="shared" si="509"/>
        <v>52900944.534416519</v>
      </c>
      <c r="O1255" s="420">
        <f t="shared" si="509"/>
        <v>16391975.167059086</v>
      </c>
      <c r="P1255" s="420">
        <f t="shared" si="509"/>
        <v>0</v>
      </c>
      <c r="Q1255" s="420">
        <f t="shared" si="509"/>
        <v>0</v>
      </c>
      <c r="R1255" s="420">
        <f t="shared" si="509"/>
        <v>29187.18269893041</v>
      </c>
      <c r="S1255" s="420"/>
      <c r="T1255" s="446">
        <f t="shared" si="505"/>
        <v>769826371.09565413</v>
      </c>
      <c r="U1255" s="421" t="str">
        <f t="shared" si="506"/>
        <v>ok</v>
      </c>
      <c r="V1255" s="420" t="str">
        <f t="shared" si="507"/>
        <v/>
      </c>
    </row>
    <row r="1256" spans="1:22" s="418" customFormat="1" ht="12" customHeight="1" x14ac:dyDescent="0.2">
      <c r="A1256" s="418" t="s">
        <v>312</v>
      </c>
      <c r="F1256" s="420">
        <f t="shared" ref="F1256:R1256" si="510">F132</f>
        <v>105339535.243157</v>
      </c>
      <c r="G1256" s="420">
        <f t="shared" si="510"/>
        <v>35195750.672475047</v>
      </c>
      <c r="H1256" s="420">
        <f t="shared" si="510"/>
        <v>11107401.229424011</v>
      </c>
      <c r="I1256" s="420">
        <f t="shared" si="510"/>
        <v>925037.65450527496</v>
      </c>
      <c r="J1256" s="62">
        <f t="shared" si="510"/>
        <v>18081178.718237046</v>
      </c>
      <c r="K1256" s="62">
        <f t="shared" si="510"/>
        <v>3855911.3353536054</v>
      </c>
      <c r="L1256" s="62">
        <f t="shared" si="510"/>
        <v>2922570.33848524</v>
      </c>
      <c r="M1256" s="62">
        <f t="shared" si="510"/>
        <v>21063105.703793067</v>
      </c>
      <c r="N1256" s="62">
        <f t="shared" si="510"/>
        <v>8642045.3658562731</v>
      </c>
      <c r="O1256" s="420">
        <f t="shared" si="510"/>
        <v>2808767.4404909969</v>
      </c>
      <c r="P1256" s="420">
        <f t="shared" si="510"/>
        <v>730539.62270493712</v>
      </c>
      <c r="Q1256" s="420">
        <f t="shared" si="510"/>
        <v>237.55844123784831</v>
      </c>
      <c r="R1256" s="420">
        <f t="shared" si="510"/>
        <v>6989.6033902608369</v>
      </c>
      <c r="S1256" s="420"/>
      <c r="T1256" s="446">
        <f t="shared" si="505"/>
        <v>105339535.24315698</v>
      </c>
      <c r="U1256" s="421" t="str">
        <f t="shared" si="506"/>
        <v>ok</v>
      </c>
      <c r="V1256" s="420" t="str">
        <f t="shared" si="507"/>
        <v/>
      </c>
    </row>
    <row r="1257" spans="1:22" s="418" customFormat="1" ht="12" customHeight="1" x14ac:dyDescent="0.2">
      <c r="A1257" s="418" t="s">
        <v>1188</v>
      </c>
      <c r="F1257" s="420">
        <f t="shared" ref="F1257:R1257" si="511">F133</f>
        <v>99301235.926086023</v>
      </c>
      <c r="G1257" s="420">
        <f t="shared" si="511"/>
        <v>45350607.128226697</v>
      </c>
      <c r="H1257" s="420">
        <f t="shared" si="511"/>
        <v>12524258.391443612</v>
      </c>
      <c r="I1257" s="420">
        <f t="shared" si="511"/>
        <v>844366.09022211237</v>
      </c>
      <c r="J1257" s="62">
        <f t="shared" si="511"/>
        <v>12583987.998786522</v>
      </c>
      <c r="K1257" s="62">
        <f t="shared" si="511"/>
        <v>2794336.8468446489</v>
      </c>
      <c r="L1257" s="62">
        <f t="shared" si="511"/>
        <v>1871539.7070352358</v>
      </c>
      <c r="M1257" s="62">
        <f t="shared" si="511"/>
        <v>15006137.787283756</v>
      </c>
      <c r="N1257" s="62">
        <f t="shared" si="511"/>
        <v>6685805.8628742537</v>
      </c>
      <c r="O1257" s="420">
        <f t="shared" si="511"/>
        <v>1636346.7643293629</v>
      </c>
      <c r="P1257" s="420">
        <f t="shared" si="511"/>
        <v>0</v>
      </c>
      <c r="Q1257" s="420">
        <f t="shared" si="511"/>
        <v>0</v>
      </c>
      <c r="R1257" s="420">
        <f t="shared" si="511"/>
        <v>3849.3490398389972</v>
      </c>
      <c r="S1257" s="420"/>
      <c r="T1257" s="446">
        <f t="shared" si="505"/>
        <v>99301235.926086023</v>
      </c>
      <c r="U1257" s="421" t="str">
        <f t="shared" si="506"/>
        <v>ok</v>
      </c>
      <c r="V1257" s="420" t="str">
        <f t="shared" si="507"/>
        <v/>
      </c>
    </row>
    <row r="1258" spans="1:22" s="418" customFormat="1" ht="12" customHeight="1" x14ac:dyDescent="0.2">
      <c r="A1258" s="418" t="s">
        <v>1189</v>
      </c>
      <c r="F1258" s="420">
        <f t="shared" ref="F1258:R1258" si="512">F134</f>
        <v>101983054.81213078</v>
      </c>
      <c r="G1258" s="420">
        <f t="shared" si="512"/>
        <v>40601072.64377293</v>
      </c>
      <c r="H1258" s="420">
        <f t="shared" si="512"/>
        <v>12323045.799784871</v>
      </c>
      <c r="I1258" s="420">
        <f t="shared" si="512"/>
        <v>703714.218877409</v>
      </c>
      <c r="J1258" s="62">
        <f t="shared" si="512"/>
        <v>15984698.923815457</v>
      </c>
      <c r="K1258" s="62">
        <f t="shared" si="512"/>
        <v>4047349.3800402493</v>
      </c>
      <c r="L1258" s="62">
        <f t="shared" si="512"/>
        <v>2501167.3573595202</v>
      </c>
      <c r="M1258" s="62">
        <f t="shared" si="512"/>
        <v>16638532.796874749</v>
      </c>
      <c r="N1258" s="62">
        <f t="shared" si="512"/>
        <v>7008073.6756113805</v>
      </c>
      <c r="O1258" s="420">
        <f t="shared" si="512"/>
        <v>2171533.4323530961</v>
      </c>
      <c r="P1258" s="420">
        <f t="shared" si="512"/>
        <v>0</v>
      </c>
      <c r="Q1258" s="420">
        <f t="shared" si="512"/>
        <v>0</v>
      </c>
      <c r="R1258" s="420">
        <f t="shared" si="512"/>
        <v>3866.5836411400896</v>
      </c>
      <c r="S1258" s="420"/>
      <c r="T1258" s="446">
        <f t="shared" si="505"/>
        <v>101983054.81213078</v>
      </c>
      <c r="U1258" s="421" t="str">
        <f t="shared" si="506"/>
        <v>ok</v>
      </c>
      <c r="V1258" s="420" t="str">
        <f t="shared" si="507"/>
        <v/>
      </c>
    </row>
    <row r="1259" spans="1:22" s="418" customFormat="1" ht="12" customHeight="1" x14ac:dyDescent="0.2">
      <c r="A1259" s="418" t="s">
        <v>2083</v>
      </c>
      <c r="F1259" s="420">
        <f t="shared" ref="F1259:R1259" si="513">F126+F127+F128</f>
        <v>66178542.027407862</v>
      </c>
      <c r="G1259" s="420">
        <f t="shared" si="513"/>
        <v>22130120.36579784</v>
      </c>
      <c r="H1259" s="420">
        <f t="shared" si="513"/>
        <v>7083625.6273738388</v>
      </c>
      <c r="I1259" s="420">
        <f t="shared" si="513"/>
        <v>585389.41881505563</v>
      </c>
      <c r="J1259" s="62">
        <f t="shared" si="513"/>
        <v>11402823.42455544</v>
      </c>
      <c r="K1259" s="62">
        <f t="shared" si="513"/>
        <v>2607304.971511391</v>
      </c>
      <c r="L1259" s="62">
        <f t="shared" si="513"/>
        <v>1688015.5391725097</v>
      </c>
      <c r="M1259" s="62">
        <f t="shared" si="513"/>
        <v>13020385.617615739</v>
      </c>
      <c r="N1259" s="62">
        <f t="shared" si="513"/>
        <v>5433024.5605480233</v>
      </c>
      <c r="O1259" s="420">
        <f t="shared" si="513"/>
        <v>1764580.9889644217</v>
      </c>
      <c r="P1259" s="420">
        <f t="shared" si="513"/>
        <v>458954.44004398218</v>
      </c>
      <c r="Q1259" s="420">
        <f t="shared" si="513"/>
        <v>149.10593930115914</v>
      </c>
      <c r="R1259" s="420">
        <f t="shared" si="513"/>
        <v>4167.9670703229385</v>
      </c>
      <c r="S1259" s="420"/>
      <c r="T1259" s="446">
        <f t="shared" si="505"/>
        <v>66178542.02740787</v>
      </c>
      <c r="U1259" s="421" t="str">
        <f t="shared" si="506"/>
        <v>ok</v>
      </c>
      <c r="V1259" s="420" t="str">
        <f t="shared" si="507"/>
        <v/>
      </c>
    </row>
    <row r="1260" spans="1:22" s="418" customFormat="1" ht="12" customHeight="1" x14ac:dyDescent="0.2">
      <c r="A1260" s="418" t="s">
        <v>1128</v>
      </c>
      <c r="F1260" s="420">
        <f t="shared" ref="F1260:R1260" si="514">F138+F141+F144+F145+F147+F152</f>
        <v>342799336.27675515</v>
      </c>
      <c r="G1260" s="420">
        <f t="shared" si="514"/>
        <v>181337902.85157311</v>
      </c>
      <c r="H1260" s="420">
        <f t="shared" si="514"/>
        <v>49853316.151837341</v>
      </c>
      <c r="I1260" s="420">
        <f t="shared" si="514"/>
        <v>4057269.4189372356</v>
      </c>
      <c r="J1260" s="62">
        <f t="shared" si="514"/>
        <v>49078131.366514437</v>
      </c>
      <c r="K1260" s="62">
        <f t="shared" si="514"/>
        <v>8777382.8627700862</v>
      </c>
      <c r="L1260" s="62">
        <f t="shared" si="514"/>
        <v>7304495.8385961633</v>
      </c>
      <c r="M1260" s="62">
        <f t="shared" si="514"/>
        <v>40034943.29541336</v>
      </c>
      <c r="N1260" s="62">
        <f t="shared" si="514"/>
        <v>0</v>
      </c>
      <c r="O1260" s="420">
        <f t="shared" si="514"/>
        <v>0</v>
      </c>
      <c r="P1260" s="420">
        <f t="shared" si="514"/>
        <v>2343238.7286507059</v>
      </c>
      <c r="Q1260" s="420">
        <f t="shared" si="514"/>
        <v>762.07796761919951</v>
      </c>
      <c r="R1260" s="420">
        <f t="shared" si="514"/>
        <v>11893.684495129295</v>
      </c>
      <c r="S1260" s="420"/>
      <c r="T1260" s="446">
        <f t="shared" si="505"/>
        <v>342799336.27675521</v>
      </c>
      <c r="U1260" s="421" t="str">
        <f t="shared" si="506"/>
        <v>ok</v>
      </c>
      <c r="V1260" s="420" t="str">
        <f t="shared" si="507"/>
        <v/>
      </c>
    </row>
    <row r="1261" spans="1:22" s="418" customFormat="1" ht="12" customHeight="1" x14ac:dyDescent="0.2">
      <c r="A1261" s="418" t="s">
        <v>1754</v>
      </c>
      <c r="F1261" s="425">
        <f t="shared" ref="F1261:R1261" si="515">F146+F148+F153+F157+F160+F163+F166+F169+F172</f>
        <v>470761597.52956349</v>
      </c>
      <c r="G1261" s="425">
        <f t="shared" si="515"/>
        <v>309633502.98934263</v>
      </c>
      <c r="H1261" s="425">
        <f t="shared" si="515"/>
        <v>79389792.96516861</v>
      </c>
      <c r="I1261" s="425">
        <f t="shared" si="515"/>
        <v>760804.43572675146</v>
      </c>
      <c r="J1261" s="416">
        <f t="shared" si="515"/>
        <v>7457558.157540502</v>
      </c>
      <c r="K1261" s="416">
        <f t="shared" si="515"/>
        <v>1139212.5847183086</v>
      </c>
      <c r="L1261" s="416">
        <f t="shared" si="515"/>
        <v>239954.93973503163</v>
      </c>
      <c r="M1261" s="416">
        <f t="shared" si="515"/>
        <v>837445.42647659092</v>
      </c>
      <c r="N1261" s="416">
        <f t="shared" si="515"/>
        <v>1000540.2606349071</v>
      </c>
      <c r="O1261" s="425">
        <f t="shared" si="515"/>
        <v>37009.044962152831</v>
      </c>
      <c r="P1261" s="425">
        <f t="shared" si="515"/>
        <v>70120300.696417466</v>
      </c>
      <c r="Q1261" s="425">
        <f t="shared" si="515"/>
        <v>2056.5802135639919</v>
      </c>
      <c r="R1261" s="425">
        <f t="shared" si="515"/>
        <v>143419.44862689415</v>
      </c>
      <c r="S1261" s="425"/>
      <c r="T1261" s="477">
        <f t="shared" si="505"/>
        <v>470761597.52956337</v>
      </c>
      <c r="U1261" s="421" t="str">
        <f t="shared" si="506"/>
        <v>ok</v>
      </c>
      <c r="V1261" s="420" t="str">
        <f t="shared" si="507"/>
        <v/>
      </c>
    </row>
    <row r="1262" spans="1:22" s="418" customFormat="1" ht="12" customHeight="1" x14ac:dyDescent="0.2">
      <c r="A1262" s="418" t="s">
        <v>82</v>
      </c>
      <c r="F1262" s="420">
        <f>SUM(F1253:F1261)</f>
        <v>3500935145.9468832</v>
      </c>
      <c r="G1262" s="420">
        <f t="shared" ref="G1262:T1262" si="516">SUM(G1253:G1261)</f>
        <v>1548738985.5921493</v>
      </c>
      <c r="H1262" s="420">
        <f t="shared" si="516"/>
        <v>443688101.28910917</v>
      </c>
      <c r="I1262" s="420">
        <f>SUM(I1253:I1261)</f>
        <v>26545088.772189464</v>
      </c>
      <c r="J1262" s="62">
        <f t="shared" si="516"/>
        <v>466728220.29690915</v>
      </c>
      <c r="K1262" s="62">
        <f t="shared" si="516"/>
        <v>103973077.01513281</v>
      </c>
      <c r="L1262" s="62">
        <f t="shared" si="516"/>
        <v>71596666.0971549</v>
      </c>
      <c r="M1262" s="62">
        <f t="shared" si="516"/>
        <v>504468963.40468329</v>
      </c>
      <c r="N1262" s="62">
        <f>SUM(N1253:N1261)</f>
        <v>197373813.70709345</v>
      </c>
      <c r="O1262" s="420">
        <f t="shared" si="516"/>
        <v>58364474.805565506</v>
      </c>
      <c r="P1262" s="420">
        <f t="shared" si="516"/>
        <v>79167563.99216941</v>
      </c>
      <c r="Q1262" s="420">
        <f t="shared" si="516"/>
        <v>4998.5494176755237</v>
      </c>
      <c r="R1262" s="420">
        <f t="shared" si="516"/>
        <v>285192.42530955514</v>
      </c>
      <c r="S1262" s="420"/>
      <c r="T1262" s="420">
        <f t="shared" si="516"/>
        <v>3500935145.9468837</v>
      </c>
      <c r="U1262" s="421" t="str">
        <f t="shared" si="506"/>
        <v>ok</v>
      </c>
      <c r="V1262" s="420" t="str">
        <f t="shared" si="507"/>
        <v/>
      </c>
    </row>
    <row r="1263" spans="1:22" s="418" customFormat="1" ht="12" customHeight="1" x14ac:dyDescent="0.2">
      <c r="J1263" s="55"/>
      <c r="K1263" s="55"/>
      <c r="L1263" s="55"/>
      <c r="M1263" s="55"/>
      <c r="N1263" s="55"/>
    </row>
    <row r="1264" spans="1:22" s="418" customFormat="1" ht="12" customHeight="1" x14ac:dyDescent="0.2">
      <c r="F1264" s="418">
        <f>SUM(F1253:F1255)/F1152</f>
        <v>1052.3690288200185</v>
      </c>
      <c r="J1264" s="55"/>
      <c r="K1264" s="55"/>
      <c r="L1264" s="55"/>
      <c r="M1264" s="55"/>
      <c r="N1264" s="55"/>
    </row>
    <row r="1265" spans="1:19" s="418" customFormat="1" ht="12" customHeight="1" x14ac:dyDescent="0.2">
      <c r="A1265" s="417" t="s">
        <v>63</v>
      </c>
      <c r="J1265" s="55"/>
      <c r="K1265" s="55"/>
      <c r="L1265" s="55"/>
      <c r="M1265" s="55"/>
      <c r="N1265" s="55"/>
    </row>
    <row r="1266" spans="1:19" s="418" customFormat="1" ht="12" customHeight="1" x14ac:dyDescent="0.2">
      <c r="A1266" s="418" t="s">
        <v>311</v>
      </c>
      <c r="G1266" s="482">
        <f t="shared" ref="G1266:H1273" si="517">G1240/G$1119</f>
        <v>-4.0882603925352859E-4</v>
      </c>
      <c r="H1266" s="482">
        <f t="shared" si="517"/>
        <v>-1.1455933350174394E-3</v>
      </c>
      <c r="I1266" s="482">
        <f t="shared" ref="I1266:I1273" si="518">I1240/I$1119</f>
        <v>-6.8820715207820109E-4</v>
      </c>
      <c r="J1266" s="473">
        <f>J1240/10678854</f>
        <v>-0.35422829864493849</v>
      </c>
      <c r="K1266" s="473">
        <f>K1240/2381439</f>
        <v>-0.2577466610189334</v>
      </c>
      <c r="L1266" s="473">
        <f>L1240/36408</f>
        <v>-5.1563072735960231</v>
      </c>
      <c r="M1266" s="473">
        <f>M1240/705460</f>
        <v>-2.1655886328077436</v>
      </c>
      <c r="N1266" s="473">
        <f>N1240/1092494</f>
        <v>-0.58451072054412401</v>
      </c>
      <c r="O1266" s="482">
        <f t="shared" ref="O1266:R1273" si="519">O1240/O$1119</f>
        <v>2.578144096106726E-3</v>
      </c>
      <c r="P1266" s="482">
        <f t="shared" si="519"/>
        <v>-2.3528693141721172E-3</v>
      </c>
      <c r="Q1266" s="482">
        <f t="shared" si="519"/>
        <v>7.5031230407675043E-5</v>
      </c>
      <c r="R1266" s="482">
        <f t="shared" si="519"/>
        <v>-1.0431357071656996E-3</v>
      </c>
      <c r="S1266" s="482"/>
    </row>
    <row r="1267" spans="1:19" s="418" customFormat="1" ht="12" customHeight="1" x14ac:dyDescent="0.2">
      <c r="A1267" s="418" t="s">
        <v>1184</v>
      </c>
      <c r="G1267" s="482">
        <f t="shared" si="517"/>
        <v>-5.2678260118700778E-4</v>
      </c>
      <c r="H1267" s="482">
        <f t="shared" si="517"/>
        <v>-1.2917249177301976E-3</v>
      </c>
      <c r="I1267" s="482">
        <f t="shared" si="518"/>
        <v>-6.2818932768087768E-4</v>
      </c>
      <c r="J1267" s="473">
        <f t="shared" ref="J1267:J1273" si="520">J1241/10678854</f>
        <v>-0.24653285764397892</v>
      </c>
      <c r="K1267" s="473">
        <f t="shared" ref="K1267:K1273" si="521">K1241/2381439</f>
        <v>-0.1867861912261356</v>
      </c>
      <c r="L1267" s="473">
        <f t="shared" ref="L1267:L1273" si="522">L1241/36408</f>
        <v>-3.3019680235348097</v>
      </c>
      <c r="M1267" s="473">
        <f t="shared" ref="M1267:M1273" si="523">M1241/705460</f>
        <v>-1.5428456691757686</v>
      </c>
      <c r="N1267" s="473">
        <f>N1241/1099952</f>
        <v>-0.44913306386497126</v>
      </c>
      <c r="O1267" s="482">
        <f t="shared" si="519"/>
        <v>1.5019889823636022E-3</v>
      </c>
      <c r="P1267" s="482">
        <f t="shared" si="519"/>
        <v>0</v>
      </c>
      <c r="Q1267" s="482">
        <f t="shared" si="519"/>
        <v>0</v>
      </c>
      <c r="R1267" s="482">
        <f t="shared" si="519"/>
        <v>-5.7448086945748955E-4</v>
      </c>
    </row>
    <row r="1268" spans="1:19" s="418" customFormat="1" ht="12" customHeight="1" x14ac:dyDescent="0.2">
      <c r="A1268" s="418" t="s">
        <v>1185</v>
      </c>
      <c r="G1268" s="482">
        <f t="shared" si="517"/>
        <v>-5.3059345868487144E-4</v>
      </c>
      <c r="H1268" s="482">
        <f t="shared" si="517"/>
        <v>-1.362294143906008E-3</v>
      </c>
      <c r="I1268" s="482">
        <f t="shared" si="518"/>
        <v>-5.7665972639818844E-4</v>
      </c>
      <c r="J1268" s="473">
        <f t="shared" si="520"/>
        <v>-0.33243553792347996</v>
      </c>
      <c r="K1268" s="473">
        <f t="shared" si="521"/>
        <v>-0.28677423797632845</v>
      </c>
      <c r="L1268" s="473">
        <f t="shared" si="522"/>
        <v>-4.9725542824061124</v>
      </c>
      <c r="M1268" s="473">
        <f t="shared" si="523"/>
        <v>-1.9025794417987785</v>
      </c>
      <c r="N1268" s="473">
        <f>N1242/1099952</f>
        <v>-0.52240699806427904</v>
      </c>
      <c r="O1268" s="482">
        <f t="shared" si="519"/>
        <v>2.0504769055490887E-3</v>
      </c>
      <c r="P1268" s="482">
        <f t="shared" si="519"/>
        <v>0</v>
      </c>
      <c r="Q1268" s="482">
        <f t="shared" si="519"/>
        <v>0</v>
      </c>
      <c r="R1268" s="482">
        <f t="shared" si="519"/>
        <v>-6.2500525373373572E-4</v>
      </c>
    </row>
    <row r="1269" spans="1:19" s="418" customFormat="1" ht="12" customHeight="1" x14ac:dyDescent="0.2">
      <c r="A1269" s="418" t="s">
        <v>312</v>
      </c>
      <c r="G1269" s="482">
        <f t="shared" si="517"/>
        <v>-5.2300289570885063E-5</v>
      </c>
      <c r="H1269" s="482">
        <f t="shared" si="517"/>
        <v>-1.7650035364216404E-4</v>
      </c>
      <c r="I1269" s="482">
        <f t="shared" si="518"/>
        <v>-1.1167177022019795E-4</v>
      </c>
      <c r="J1269" s="473">
        <f t="shared" si="520"/>
        <v>-5.6512840565706726E-2</v>
      </c>
      <c r="K1269" s="473">
        <f t="shared" si="521"/>
        <v>-3.9630301562184639E-2</v>
      </c>
      <c r="L1269" s="473">
        <f t="shared" si="522"/>
        <v>-0.87458318400860624</v>
      </c>
      <c r="M1269" s="473">
        <f t="shared" si="523"/>
        <v>-0.34316810868851094</v>
      </c>
      <c r="N1269" s="473">
        <f>N1243/1092494</f>
        <v>-9.0541692550681244E-2</v>
      </c>
      <c r="O1269" s="482">
        <f t="shared" si="519"/>
        <v>4.2310848433295439E-4</v>
      </c>
      <c r="P1269" s="482">
        <f t="shared" si="519"/>
        <v>-3.8239839163921693E-4</v>
      </c>
      <c r="Q1269" s="482">
        <f t="shared" si="519"/>
        <v>1.8933892705783061E-5</v>
      </c>
      <c r="R1269" s="482">
        <f t="shared" si="519"/>
        <v>-1.7373838883548822E-4</v>
      </c>
    </row>
    <row r="1270" spans="1:19" s="418" customFormat="1" ht="12" customHeight="1" x14ac:dyDescent="0.2">
      <c r="A1270" s="418" t="s">
        <v>1188</v>
      </c>
      <c r="G1270" s="482">
        <f t="shared" si="517"/>
        <v>-6.7390234323844484E-5</v>
      </c>
      <c r="H1270" s="482">
        <f t="shared" si="517"/>
        <v>-1.9901469205414399E-4</v>
      </c>
      <c r="I1270" s="482">
        <f t="shared" si="518"/>
        <v>-1.0193299218661496E-4</v>
      </c>
      <c r="J1270" s="473">
        <f t="shared" si="520"/>
        <v>-3.9331335558278772E-2</v>
      </c>
      <c r="K1270" s="473">
        <f t="shared" si="521"/>
        <v>-2.8719646868286257E-2</v>
      </c>
      <c r="L1270" s="473">
        <f t="shared" si="522"/>
        <v>-0.56006082537119195</v>
      </c>
      <c r="M1270" s="473">
        <f t="shared" si="523"/>
        <v>-0.24448568960340988</v>
      </c>
      <c r="N1270" s="473">
        <f>N1244/1099952</f>
        <v>-6.9571466105792124E-2</v>
      </c>
      <c r="O1270" s="482">
        <f t="shared" si="519"/>
        <v>2.4649680472567072E-4</v>
      </c>
      <c r="P1270" s="482">
        <f t="shared" si="519"/>
        <v>0</v>
      </c>
      <c r="Q1270" s="482">
        <f t="shared" si="519"/>
        <v>0</v>
      </c>
      <c r="R1270" s="482">
        <f t="shared" si="519"/>
        <v>-9.5682067051032461E-5</v>
      </c>
    </row>
    <row r="1271" spans="1:19" s="418" customFormat="1" ht="12" customHeight="1" x14ac:dyDescent="0.2">
      <c r="A1271" s="418" t="s">
        <v>1189</v>
      </c>
      <c r="G1271" s="482">
        <f t="shared" si="517"/>
        <v>-6.0332506498249427E-5</v>
      </c>
      <c r="H1271" s="482">
        <f t="shared" si="517"/>
        <v>-1.9581735607505427E-4</v>
      </c>
      <c r="I1271" s="482">
        <f t="shared" si="518"/>
        <v>-8.4953312082406885E-5</v>
      </c>
      <c r="J1271" s="473">
        <f t="shared" si="520"/>
        <v>-4.996027946238258E-2</v>
      </c>
      <c r="K1271" s="473">
        <f t="shared" si="521"/>
        <v>-4.1597864294202466E-2</v>
      </c>
      <c r="L1271" s="473">
        <f t="shared" si="522"/>
        <v>-0.74847776367690011</v>
      </c>
      <c r="M1271" s="473">
        <f t="shared" si="523"/>
        <v>-0.27108128836988343</v>
      </c>
      <c r="N1271" s="473">
        <f>N1245/1099952</f>
        <v>-7.2924935331593305E-2</v>
      </c>
      <c r="O1271" s="482">
        <f t="shared" si="519"/>
        <v>3.2711651594787906E-4</v>
      </c>
      <c r="P1271" s="482">
        <f t="shared" si="519"/>
        <v>0</v>
      </c>
      <c r="Q1271" s="482">
        <f t="shared" si="519"/>
        <v>0</v>
      </c>
      <c r="R1271" s="482">
        <f t="shared" si="519"/>
        <v>-9.6110462153742521E-5</v>
      </c>
    </row>
    <row r="1272" spans="1:19" s="418" customFormat="1" ht="12" customHeight="1" x14ac:dyDescent="0.2">
      <c r="A1272" s="418" t="s">
        <v>2083</v>
      </c>
      <c r="G1272" s="482">
        <f t="shared" si="517"/>
        <v>-4.963596323783348E-3</v>
      </c>
      <c r="H1272" s="482">
        <f t="shared" si="517"/>
        <v>-8.5480276865942447E-3</v>
      </c>
      <c r="I1272" s="482">
        <f t="shared" si="518"/>
        <v>-6.5772108348397034E-3</v>
      </c>
      <c r="J1272" s="483">
        <f>J1246/J$1119</f>
        <v>-8.7925938946102327E-3</v>
      </c>
      <c r="K1272" s="483">
        <f>K1246/K$1119</f>
        <v>-6.0275562152461359E-3</v>
      </c>
      <c r="L1272" s="483">
        <f>L1246/L$1119</f>
        <v>-6.216242593219499E-3</v>
      </c>
      <c r="M1272" s="483">
        <f>M1246/M$1119</f>
        <v>-5.1253655753392153E-3</v>
      </c>
      <c r="N1272" s="483">
        <f>N1246/N$1119</f>
        <v>-4.5803085460052895E-3</v>
      </c>
      <c r="O1272" s="482">
        <f t="shared" si="519"/>
        <v>8.825738097631132E-3</v>
      </c>
      <c r="P1272" s="482">
        <f t="shared" si="519"/>
        <v>-1.4617580114729023E-2</v>
      </c>
      <c r="Q1272" s="482">
        <f t="shared" si="519"/>
        <v>-2.6844536956076299E-3</v>
      </c>
      <c r="R1272" s="482">
        <f t="shared" si="519"/>
        <v>-8.4908271301654334E-3</v>
      </c>
    </row>
    <row r="1273" spans="1:19" s="418" customFormat="1" ht="12" customHeight="1" x14ac:dyDescent="0.2">
      <c r="A1273" s="418" t="s">
        <v>1128</v>
      </c>
      <c r="G1273" s="482">
        <f t="shared" si="517"/>
        <v>-2.5702813373455839E-4</v>
      </c>
      <c r="H1273" s="482">
        <f t="shared" si="517"/>
        <v>-7.8799393875038002E-4</v>
      </c>
      <c r="I1273" s="482">
        <f t="shared" si="518"/>
        <v>-5.0744743449767141E-4</v>
      </c>
      <c r="J1273" s="473">
        <f t="shared" si="520"/>
        <v>-0.15660286526087402</v>
      </c>
      <c r="K1273" s="473">
        <f t="shared" si="521"/>
        <v>-0.10107680289083303</v>
      </c>
      <c r="L1273" s="473">
        <f t="shared" si="522"/>
        <v>-2.2623309656532098</v>
      </c>
      <c r="M1273" s="473">
        <f t="shared" si="523"/>
        <v>-0.77061433746364649</v>
      </c>
      <c r="N1273" s="473">
        <f>N1247/1099952</f>
        <v>0</v>
      </c>
      <c r="O1273" s="482">
        <f t="shared" si="519"/>
        <v>0</v>
      </c>
      <c r="P1273" s="482">
        <f t="shared" si="519"/>
        <v>-1.263218072423535E-3</v>
      </c>
      <c r="Q1273" s="482">
        <f t="shared" si="519"/>
        <v>5.6415195526120767E-5</v>
      </c>
      <c r="R1273" s="482">
        <f t="shared" si="519"/>
        <v>-3.0511154971078015E-4</v>
      </c>
    </row>
    <row r="1274" spans="1:19" s="418" customFormat="1" ht="12" customHeight="1" x14ac:dyDescent="0.2">
      <c r="A1274" s="418" t="s">
        <v>1754</v>
      </c>
      <c r="G1274" s="484">
        <f t="shared" ref="G1274:N1274" si="524">G1248/G1125</f>
        <v>-1.3146985305742029</v>
      </c>
      <c r="H1274" s="484">
        <f t="shared" si="524"/>
        <v>-5.583770188557061</v>
      </c>
      <c r="I1274" s="484">
        <f t="shared" si="524"/>
        <v>-13.633028146321658</v>
      </c>
      <c r="J1274" s="447">
        <f t="shared" si="524"/>
        <v>-12.634442843154746</v>
      </c>
      <c r="K1274" s="447">
        <f t="shared" si="524"/>
        <v>-20.985764092826798</v>
      </c>
      <c r="L1274" s="447">
        <f t="shared" si="524"/>
        <v>-25.457045260748373</v>
      </c>
      <c r="M1274" s="447">
        <f t="shared" si="524"/>
        <v>-32.325112131027957</v>
      </c>
      <c r="N1274" s="447">
        <f t="shared" si="524"/>
        <v>-82.503365324195457</v>
      </c>
      <c r="O1274" s="484">
        <f>O1248/O1127/12</f>
        <v>501.63988876001849</v>
      </c>
      <c r="P1274" s="484">
        <f>P1248/P1127/12</f>
        <v>-1.9199334207247245</v>
      </c>
      <c r="Q1274" s="484">
        <f>Q1248/Q1127/12</f>
        <v>-6.040234412917257E-3</v>
      </c>
      <c r="R1274" s="484">
        <f>R1248/R1127/12</f>
        <v>-0.75203727868313364</v>
      </c>
      <c r="S1274" s="484"/>
    </row>
    <row r="1275" spans="1:19" s="418" customFormat="1" ht="12" customHeight="1" x14ac:dyDescent="0.2">
      <c r="G1275" s="484"/>
      <c r="H1275" s="484"/>
      <c r="I1275" s="484"/>
      <c r="J1275" s="447"/>
      <c r="K1275" s="447"/>
      <c r="L1275" s="447"/>
      <c r="M1275" s="447"/>
      <c r="N1275" s="447"/>
      <c r="O1275" s="484"/>
      <c r="P1275" s="484"/>
      <c r="Q1275" s="484"/>
      <c r="R1275" s="484"/>
      <c r="S1275" s="484"/>
    </row>
    <row r="1276" spans="1:19" s="418" customFormat="1" ht="12" customHeight="1" x14ac:dyDescent="0.2">
      <c r="J1276" s="55"/>
      <c r="K1276" s="55"/>
      <c r="L1276" s="55"/>
      <c r="M1276" s="55"/>
      <c r="N1276" s="55"/>
    </row>
    <row r="1277" spans="1:19" s="418" customFormat="1" ht="12" customHeight="1" x14ac:dyDescent="0.2">
      <c r="J1277" s="55"/>
      <c r="K1277" s="55"/>
      <c r="L1277" s="55"/>
      <c r="M1277" s="55"/>
      <c r="N1277" s="55"/>
    </row>
    <row r="1278" spans="1:19" s="418" customFormat="1" ht="12" customHeight="1" x14ac:dyDescent="0.2">
      <c r="A1278" s="417" t="s">
        <v>64</v>
      </c>
      <c r="J1278" s="55"/>
      <c r="K1278" s="55"/>
      <c r="L1278" s="55"/>
      <c r="M1278" s="55"/>
      <c r="N1278" s="55"/>
    </row>
    <row r="1279" spans="1:19" s="418" customFormat="1" ht="12" customHeight="1" x14ac:dyDescent="0.2">
      <c r="A1279" s="418" t="s">
        <v>311</v>
      </c>
      <c r="G1279" s="482">
        <f t="shared" ref="G1279:H1284" si="525">G1253/G$1119</f>
        <v>4.4692067434793627E-2</v>
      </c>
      <c r="H1279" s="482">
        <f t="shared" si="525"/>
        <v>4.3150205401000001E-2</v>
      </c>
      <c r="I1279" s="482">
        <f t="shared" ref="I1279:I1286" si="526">I1253/I$1119</f>
        <v>4.4324163903657079E-2</v>
      </c>
      <c r="J1279" s="473">
        <f>J1253/10678854</f>
        <v>12.781059521573276</v>
      </c>
      <c r="K1279" s="473">
        <f>K1253/2381439</f>
        <v>12.222283265148377</v>
      </c>
      <c r="L1279" s="473">
        <f>L1253/36408</f>
        <v>605.944596762228</v>
      </c>
      <c r="M1279" s="473">
        <f t="shared" ref="M1279:M1284" si="527">M1253/705460</f>
        <v>225.37969178087712</v>
      </c>
      <c r="N1279" s="473">
        <f>N1253/1092494</f>
        <v>59.712086755545677</v>
      </c>
      <c r="O1279" s="482">
        <f t="shared" ref="O1279:R1286" si="528">O1253/O$1119</f>
        <v>3.8811416032211152E-2</v>
      </c>
      <c r="P1279" s="482">
        <f t="shared" si="528"/>
        <v>4.4733346635388894E-2</v>
      </c>
      <c r="Q1279" s="482">
        <f t="shared" si="528"/>
        <v>4.4774703020058045E-2</v>
      </c>
      <c r="R1279" s="482">
        <f t="shared" si="528"/>
        <v>4.7164634575457359E-2</v>
      </c>
    </row>
    <row r="1280" spans="1:19" s="418" customFormat="1" ht="12" customHeight="1" x14ac:dyDescent="0.2">
      <c r="A1280" s="418" t="s">
        <v>1184</v>
      </c>
      <c r="G1280" s="482">
        <f t="shared" si="525"/>
        <v>5.7586849357033766E-2</v>
      </c>
      <c r="H1280" s="482">
        <f t="shared" si="525"/>
        <v>4.865443418523329E-2</v>
      </c>
      <c r="I1280" s="482">
        <f t="shared" si="526"/>
        <v>4.0458700027417735E-2</v>
      </c>
      <c r="J1280" s="473">
        <f t="shared" ref="J1280:J1286" si="529">J1254/10678854</f>
        <v>8.8952552340534723</v>
      </c>
      <c r="K1280" s="473">
        <f t="shared" ref="K1280:K1286" si="530">K1254/2381439</f>
        <v>8.8573552423878112</v>
      </c>
      <c r="L1280" s="473">
        <f t="shared" ref="L1280:L1286" si="531">L1254/36408</f>
        <v>388.03150711908586</v>
      </c>
      <c r="M1280" s="473">
        <f t="shared" si="527"/>
        <v>160.56885232790424</v>
      </c>
      <c r="N1280" s="473">
        <f>N1254/1099952</f>
        <v>45.88225935244354</v>
      </c>
      <c r="O1280" s="482">
        <f t="shared" si="528"/>
        <v>2.2610962419960114E-2</v>
      </c>
      <c r="P1280" s="482">
        <f t="shared" si="528"/>
        <v>0</v>
      </c>
      <c r="Q1280" s="482">
        <f t="shared" si="528"/>
        <v>0</v>
      </c>
      <c r="R1280" s="482">
        <f t="shared" si="528"/>
        <v>2.5974741438171758E-2</v>
      </c>
      <c r="S1280" s="485"/>
    </row>
    <row r="1281" spans="1:19" s="418" customFormat="1" ht="12" customHeight="1" x14ac:dyDescent="0.2">
      <c r="A1281" s="418" t="s">
        <v>1185</v>
      </c>
      <c r="G1281" s="482">
        <f t="shared" si="525"/>
        <v>5.1555822559554806E-2</v>
      </c>
      <c r="H1281" s="482">
        <f t="shared" si="525"/>
        <v>4.7872760373330082E-2</v>
      </c>
      <c r="I1281" s="482">
        <f t="shared" si="526"/>
        <v>3.3719215890231011E-2</v>
      </c>
      <c r="J1281" s="473">
        <f t="shared" si="529"/>
        <v>11.299118910519434</v>
      </c>
      <c r="K1281" s="473">
        <f t="shared" si="530"/>
        <v>12.829094419863825</v>
      </c>
      <c r="L1281" s="473">
        <f t="shared" si="531"/>
        <v>518.57395041365453</v>
      </c>
      <c r="M1281" s="473">
        <f t="shared" si="527"/>
        <v>178.03582463958983</v>
      </c>
      <c r="N1281" s="473">
        <f>N1255/1099952</f>
        <v>48.093866400003378</v>
      </c>
      <c r="O1281" s="482">
        <f t="shared" si="528"/>
        <v>3.0006146559495343E-2</v>
      </c>
      <c r="P1281" s="482">
        <f t="shared" si="528"/>
        <v>0</v>
      </c>
      <c r="Q1281" s="482">
        <f t="shared" si="528"/>
        <v>0</v>
      </c>
      <c r="R1281" s="482">
        <f t="shared" si="528"/>
        <v>2.6091037546410515E-2</v>
      </c>
      <c r="S1281" s="485"/>
    </row>
    <row r="1282" spans="1:19" s="418" customFormat="1" ht="12" customHeight="1" x14ac:dyDescent="0.2">
      <c r="A1282" s="418" t="s">
        <v>312</v>
      </c>
      <c r="G1282" s="482">
        <f t="shared" si="525"/>
        <v>5.9205994156618412E-3</v>
      </c>
      <c r="H1282" s="482">
        <f t="shared" si="525"/>
        <v>5.7163406292535229E-3</v>
      </c>
      <c r="I1282" s="482">
        <f t="shared" si="526"/>
        <v>5.8718612489917707E-3</v>
      </c>
      <c r="J1282" s="473">
        <f t="shared" si="529"/>
        <v>1.6931759454935003</v>
      </c>
      <c r="K1282" s="473">
        <f t="shared" si="530"/>
        <v>1.6191518385957422</v>
      </c>
      <c r="L1282" s="473">
        <f t="shared" si="531"/>
        <v>80.272751551451336</v>
      </c>
      <c r="M1282" s="473">
        <f t="shared" si="527"/>
        <v>29.857264343539065</v>
      </c>
      <c r="N1282" s="473">
        <f>N1256/1092494</f>
        <v>7.9103824513967798</v>
      </c>
      <c r="O1282" s="482">
        <f t="shared" si="528"/>
        <v>5.1415577812903889E-3</v>
      </c>
      <c r="P1282" s="482">
        <f t="shared" si="528"/>
        <v>5.9260678941850126E-3</v>
      </c>
      <c r="Q1282" s="482">
        <f t="shared" si="528"/>
        <v>5.931546597699084E-3</v>
      </c>
      <c r="R1282" s="482">
        <f t="shared" si="528"/>
        <v>6.2481537314150121E-3</v>
      </c>
      <c r="S1282" s="485"/>
    </row>
    <row r="1283" spans="1:19" s="418" customFormat="1" ht="12" customHeight="1" x14ac:dyDescent="0.2">
      <c r="A1283" s="418" t="s">
        <v>1188</v>
      </c>
      <c r="G1283" s="482">
        <f t="shared" si="525"/>
        <v>7.6288407814319534E-3</v>
      </c>
      <c r="H1283" s="482">
        <f t="shared" si="525"/>
        <v>6.4455155274868049E-3</v>
      </c>
      <c r="I1283" s="482">
        <f t="shared" si="526"/>
        <v>5.3597823839825519E-3</v>
      </c>
      <c r="J1283" s="473">
        <f t="shared" si="529"/>
        <v>1.1784024764067869</v>
      </c>
      <c r="K1283" s="473">
        <f t="shared" si="530"/>
        <v>1.1733816599310958</v>
      </c>
      <c r="L1283" s="473">
        <f t="shared" si="531"/>
        <v>51.404628296946711</v>
      </c>
      <c r="M1283" s="473">
        <f t="shared" si="527"/>
        <v>21.271422599840893</v>
      </c>
      <c r="N1283" s="473">
        <f>N1257/1099952</f>
        <v>6.0782705635102747</v>
      </c>
      <c r="O1283" s="482">
        <f t="shared" si="528"/>
        <v>2.9953962431137609E-3</v>
      </c>
      <c r="P1283" s="482">
        <f t="shared" si="528"/>
        <v>0</v>
      </c>
      <c r="Q1283" s="482">
        <f t="shared" si="528"/>
        <v>0</v>
      </c>
      <c r="R1283" s="482">
        <f t="shared" si="528"/>
        <v>3.441014206943619E-3</v>
      </c>
    </row>
    <row r="1284" spans="1:19" s="418" customFormat="1" ht="12" customHeight="1" x14ac:dyDescent="0.2">
      <c r="A1284" s="418" t="s">
        <v>1189</v>
      </c>
      <c r="G1284" s="482">
        <f t="shared" si="525"/>
        <v>6.8298781067896944E-3</v>
      </c>
      <c r="H1284" s="482">
        <f t="shared" si="525"/>
        <v>6.3419629782397917E-3</v>
      </c>
      <c r="I1284" s="482">
        <f t="shared" si="526"/>
        <v>4.4669665413790008E-3</v>
      </c>
      <c r="J1284" s="473">
        <f t="shared" si="529"/>
        <v>1.4968552734043801</v>
      </c>
      <c r="K1284" s="473">
        <f t="shared" si="530"/>
        <v>1.699539387756835</v>
      </c>
      <c r="L1284" s="473">
        <f t="shared" si="531"/>
        <v>68.698290413082844</v>
      </c>
      <c r="M1284" s="473">
        <f t="shared" si="527"/>
        <v>23.585366706652042</v>
      </c>
      <c r="N1284" s="473">
        <f>N1258/1099952</f>
        <v>6.3712540870977827</v>
      </c>
      <c r="O1284" s="482">
        <f t="shared" si="528"/>
        <v>3.9750762044206611E-3</v>
      </c>
      <c r="P1284" s="482">
        <f t="shared" si="528"/>
        <v>0</v>
      </c>
      <c r="Q1284" s="482">
        <f t="shared" si="528"/>
        <v>0</v>
      </c>
      <c r="R1284" s="482">
        <f t="shared" si="528"/>
        <v>3.4564205801548538E-3</v>
      </c>
    </row>
    <row r="1285" spans="1:19" s="418" customFormat="1" ht="12" customHeight="1" x14ac:dyDescent="0.2">
      <c r="A1285" s="418" t="s">
        <v>2083</v>
      </c>
      <c r="G1285" s="482">
        <f t="shared" ref="G1285:L1285" si="532">G1259/G$1119</f>
        <v>3.7227101341167396E-3</v>
      </c>
      <c r="H1285" s="482">
        <f t="shared" si="532"/>
        <v>3.645534733085206E-3</v>
      </c>
      <c r="I1285" s="482">
        <f t="shared" si="526"/>
        <v>3.7158762426252544E-3</v>
      </c>
      <c r="J1285" s="483">
        <f t="shared" si="532"/>
        <v>3.7145431159402937E-3</v>
      </c>
      <c r="K1285" s="483">
        <f t="shared" si="532"/>
        <v>3.2492654170030292E-3</v>
      </c>
      <c r="L1285" s="483">
        <f t="shared" si="532"/>
        <v>4.0859864579758359E-3</v>
      </c>
      <c r="M1285" s="483">
        <f>M1259/M$1119</f>
        <v>3.6653338430397944E-3</v>
      </c>
      <c r="N1285" s="483">
        <f>N1259/N$1119</f>
        <v>3.3780951322825627E-3</v>
      </c>
      <c r="O1285" s="482">
        <f t="shared" si="528"/>
        <v>3.2301339668552717E-3</v>
      </c>
      <c r="P1285" s="482">
        <f t="shared" si="528"/>
        <v>3.7229947391050969E-3</v>
      </c>
      <c r="Q1285" s="482">
        <f t="shared" si="528"/>
        <v>3.7229947391050973E-3</v>
      </c>
      <c r="R1285" s="482">
        <f t="shared" si="528"/>
        <v>3.7258335772155059E-3</v>
      </c>
    </row>
    <row r="1286" spans="1:19" s="418" customFormat="1" ht="12" customHeight="1" x14ac:dyDescent="0.2">
      <c r="A1286" s="418" t="s">
        <v>1128</v>
      </c>
      <c r="G1286" s="482">
        <f>G1260/G$1119</f>
        <v>3.0504508673542874E-2</v>
      </c>
      <c r="H1286" s="482">
        <f>H1260/H$1119</f>
        <v>2.5656634773113945E-2</v>
      </c>
      <c r="I1286" s="482">
        <f t="shared" si="526"/>
        <v>2.5754327904109184E-2</v>
      </c>
      <c r="J1286" s="473">
        <f t="shared" si="529"/>
        <v>4.5958237996806055</v>
      </c>
      <c r="K1286" s="473">
        <f t="shared" si="530"/>
        <v>3.6857475092874878</v>
      </c>
      <c r="L1286" s="473">
        <f t="shared" si="531"/>
        <v>200.62886834201723</v>
      </c>
      <c r="M1286" s="473">
        <f>M1260/705460</f>
        <v>56.750125160056363</v>
      </c>
      <c r="N1286" s="473">
        <f>N1260/1099952</f>
        <v>0</v>
      </c>
      <c r="O1286" s="482">
        <f t="shared" si="528"/>
        <v>0</v>
      </c>
      <c r="P1286" s="482">
        <f t="shared" si="528"/>
        <v>1.900812956161373E-2</v>
      </c>
      <c r="Q1286" s="482">
        <f t="shared" si="528"/>
        <v>1.9028163985498114E-2</v>
      </c>
      <c r="R1286" s="482">
        <f t="shared" si="528"/>
        <v>1.0632015152971613E-2</v>
      </c>
    </row>
    <row r="1287" spans="1:19" s="418" customFormat="1" ht="12" customHeight="1" x14ac:dyDescent="0.2">
      <c r="A1287" s="418" t="s">
        <v>1754</v>
      </c>
      <c r="G1287" s="484">
        <f t="shared" ref="G1287:N1287" si="533">G1261/G1138</f>
        <v>737.39468492491733</v>
      </c>
      <c r="H1287" s="484">
        <f t="shared" si="533"/>
        <v>483.67710685623445</v>
      </c>
      <c r="I1287" s="484">
        <f t="shared" si="533"/>
        <v>118.32106309902822</v>
      </c>
      <c r="J1287" s="447">
        <f t="shared" si="533"/>
        <v>265.06337862237433</v>
      </c>
      <c r="K1287" s="447">
        <f t="shared" si="533"/>
        <v>764.57220450893203</v>
      </c>
      <c r="L1287" s="447">
        <f t="shared" si="533"/>
        <v>70.059836418987331</v>
      </c>
      <c r="M1287" s="447">
        <f t="shared" si="533"/>
        <v>200.58573089259662</v>
      </c>
      <c r="N1287" s="447">
        <f t="shared" si="533"/>
        <v>1429.3432294784386</v>
      </c>
      <c r="O1287" s="484">
        <f>O1261/O1140/12</f>
        <v>3084.0870801794026</v>
      </c>
      <c r="P1287" s="484">
        <f>P1261/P1140/12</f>
        <v>34.310735268474708</v>
      </c>
      <c r="Q1287" s="484">
        <f>Q1261/Q1140/12</f>
        <v>15.580153133060547</v>
      </c>
      <c r="R1287" s="484">
        <f>R1261/R1140/12</f>
        <v>16.599473220705342</v>
      </c>
    </row>
    <row r="1288" spans="1:19" s="418" customFormat="1" ht="12" customHeight="1" x14ac:dyDescent="0.2">
      <c r="J1288" s="55"/>
      <c r="K1288" s="55"/>
      <c r="L1288" s="55"/>
      <c r="M1288" s="55"/>
      <c r="N1288" s="55"/>
    </row>
    <row r="1289" spans="1:19" s="418" customFormat="1" ht="12" customHeight="1" x14ac:dyDescent="0.2">
      <c r="J1289" s="55"/>
      <c r="K1289" s="55"/>
      <c r="L1289" s="55"/>
      <c r="M1289" s="55"/>
      <c r="N1289" s="55"/>
    </row>
    <row r="1290" spans="1:19" s="418" customFormat="1" ht="12" customHeight="1" x14ac:dyDescent="0.2">
      <c r="A1290" s="417" t="s">
        <v>1755</v>
      </c>
      <c r="J1290" s="55"/>
      <c r="K1290" s="55"/>
      <c r="L1290" s="55"/>
      <c r="M1290" s="55"/>
      <c r="N1290" s="55"/>
    </row>
    <row r="1291" spans="1:19" s="418" customFormat="1" ht="12" customHeight="1" x14ac:dyDescent="0.2">
      <c r="A1291" s="417"/>
      <c r="J1291" s="55"/>
      <c r="K1291" s="55"/>
      <c r="L1291" s="55"/>
      <c r="M1291" s="55"/>
      <c r="N1291" s="55"/>
    </row>
    <row r="1292" spans="1:19" s="418" customFormat="1" ht="12" customHeight="1" x14ac:dyDescent="0.2">
      <c r="A1292" s="417" t="s">
        <v>65</v>
      </c>
      <c r="J1292" s="55"/>
      <c r="K1292" s="55"/>
      <c r="L1292" s="55"/>
      <c r="M1292" s="55"/>
      <c r="N1292" s="55"/>
    </row>
    <row r="1293" spans="1:19" s="418" customFormat="1" ht="12" customHeight="1" x14ac:dyDescent="0.2">
      <c r="A1293" s="418" t="s">
        <v>66</v>
      </c>
      <c r="G1293" s="482">
        <f>G1266</f>
        <v>-4.0882603925352859E-4</v>
      </c>
      <c r="H1293" s="482">
        <f t="shared" ref="H1293:R1293" si="534">H1266</f>
        <v>-1.1455933350174394E-3</v>
      </c>
      <c r="I1293" s="482">
        <f>I1266</f>
        <v>-6.8820715207820109E-4</v>
      </c>
      <c r="J1293" s="483">
        <f t="shared" si="534"/>
        <v>-0.35422829864493849</v>
      </c>
      <c r="K1293" s="483">
        <f t="shared" si="534"/>
        <v>-0.2577466610189334</v>
      </c>
      <c r="L1293" s="483">
        <f t="shared" si="534"/>
        <v>-5.1563072735960231</v>
      </c>
      <c r="M1293" s="483">
        <f>M1266</f>
        <v>-2.1655886328077436</v>
      </c>
      <c r="N1293" s="483">
        <f>N1266</f>
        <v>-0.58451072054412401</v>
      </c>
      <c r="O1293" s="482">
        <f t="shared" si="534"/>
        <v>2.578144096106726E-3</v>
      </c>
      <c r="P1293" s="482">
        <f t="shared" si="534"/>
        <v>-2.3528693141721172E-3</v>
      </c>
      <c r="Q1293" s="482">
        <f t="shared" si="534"/>
        <v>7.5031230407675043E-5</v>
      </c>
      <c r="R1293" s="482">
        <f t="shared" si="534"/>
        <v>-1.0431357071656996E-3</v>
      </c>
      <c r="S1293" s="482"/>
    </row>
    <row r="1294" spans="1:19" s="418" customFormat="1" ht="12" customHeight="1" x14ac:dyDescent="0.35">
      <c r="A1294" s="418" t="s">
        <v>67</v>
      </c>
      <c r="G1294" s="486">
        <f>(G1253*G973)/G$1119</f>
        <v>2.3046587716978964E-3</v>
      </c>
      <c r="H1294" s="486">
        <f>(H1253*H973)/H$1119</f>
        <v>4.4240734568891443E-3</v>
      </c>
      <c r="I1294" s="486">
        <f>(I1253*I973)/I$1119</f>
        <v>3.9439990486285102E-3</v>
      </c>
      <c r="J1294" s="487">
        <f>(J1253*J973)/10678854</f>
        <v>1.5886793802029759</v>
      </c>
      <c r="K1294" s="487">
        <f>(K1253*K973)/2381439</f>
        <v>1.2700997660963609</v>
      </c>
      <c r="L1294" s="487">
        <f>(L1253*L973)/36408</f>
        <v>45.207539767901771</v>
      </c>
      <c r="M1294" s="487">
        <f>(M1253*M973)/705460</f>
        <v>16.707914728767157</v>
      </c>
      <c r="N1294" s="487">
        <f>(N1253*N973)/1092494</f>
        <v>4.5840707314660962</v>
      </c>
      <c r="O1294" s="486">
        <f>(O1253*O973)/O$1119</f>
        <v>2.3352419973204038E-3</v>
      </c>
      <c r="P1294" s="486">
        <f>(P1253*P973)/P$1119</f>
        <v>4.3408291402653896E-3</v>
      </c>
      <c r="Q1294" s="486">
        <f>(Q1253*Q973)/Q$1119</f>
        <v>2.1829703306064942E-3</v>
      </c>
      <c r="R1294" s="486">
        <f>(R1253*R973)/R$1119</f>
        <v>4.4354927427301041E-3</v>
      </c>
      <c r="S1294" s="482"/>
    </row>
    <row r="1295" spans="1:19" s="418" customFormat="1" ht="12" customHeight="1" x14ac:dyDescent="0.2">
      <c r="B1295" s="418" t="s">
        <v>68</v>
      </c>
      <c r="G1295" s="488">
        <f t="shared" ref="G1295:M1295" si="535">SUM(G1293:G1294)</f>
        <v>1.8958327324443678E-3</v>
      </c>
      <c r="H1295" s="488">
        <f t="shared" si="535"/>
        <v>3.2784801218717049E-3</v>
      </c>
      <c r="I1295" s="488">
        <f>SUM(I1293:I1294)</f>
        <v>3.2557918965503089E-3</v>
      </c>
      <c r="J1295" s="489">
        <f t="shared" si="535"/>
        <v>1.2344510815580374</v>
      </c>
      <c r="K1295" s="489">
        <f t="shared" si="535"/>
        <v>1.0123531050774275</v>
      </c>
      <c r="L1295" s="489">
        <f t="shared" si="535"/>
        <v>40.051232494305751</v>
      </c>
      <c r="M1295" s="489">
        <f t="shared" si="535"/>
        <v>14.542326095959414</v>
      </c>
      <c r="N1295" s="489">
        <f>SUM(N1293:N1294)</f>
        <v>3.9995600109219724</v>
      </c>
      <c r="O1295" s="488">
        <f>SUM(O1293:O1294)</f>
        <v>4.9133860934271294E-3</v>
      </c>
      <c r="P1295" s="488">
        <f>SUM(P1293:P1294)</f>
        <v>1.9879598260932724E-3</v>
      </c>
      <c r="Q1295" s="488">
        <f>SUM(Q1293:Q1294)</f>
        <v>2.2580015610141691E-3</v>
      </c>
      <c r="R1295" s="488">
        <f>SUM(R1293:R1294)</f>
        <v>3.3923570355644042E-3</v>
      </c>
      <c r="S1295" s="482"/>
    </row>
    <row r="1296" spans="1:19" s="418" customFormat="1" ht="12" customHeight="1" x14ac:dyDescent="0.2">
      <c r="A1296" s="417"/>
      <c r="J1296" s="55"/>
      <c r="K1296" s="55"/>
      <c r="L1296" s="55"/>
      <c r="M1296" s="55"/>
      <c r="N1296" s="55"/>
    </row>
    <row r="1297" spans="1:19" s="418" customFormat="1" ht="12" customHeight="1" x14ac:dyDescent="0.2">
      <c r="A1297" s="417" t="s">
        <v>69</v>
      </c>
      <c r="J1297" s="55"/>
      <c r="K1297" s="55"/>
      <c r="L1297" s="55"/>
      <c r="M1297" s="55"/>
      <c r="N1297" s="55"/>
    </row>
    <row r="1298" spans="1:19" s="418" customFormat="1" ht="12" customHeight="1" x14ac:dyDescent="0.2">
      <c r="A1298" s="418" t="s">
        <v>66</v>
      </c>
      <c r="G1298" s="482">
        <f t="shared" ref="G1298:R1298" si="536">G1267</f>
        <v>-5.2678260118700778E-4</v>
      </c>
      <c r="H1298" s="482">
        <f t="shared" si="536"/>
        <v>-1.2917249177301976E-3</v>
      </c>
      <c r="I1298" s="482">
        <f>I1267</f>
        <v>-6.2818932768087768E-4</v>
      </c>
      <c r="J1298" s="483">
        <f t="shared" si="536"/>
        <v>-0.24653285764397892</v>
      </c>
      <c r="K1298" s="483">
        <f t="shared" si="536"/>
        <v>-0.1867861912261356</v>
      </c>
      <c r="L1298" s="483">
        <f t="shared" si="536"/>
        <v>-3.3019680235348097</v>
      </c>
      <c r="M1298" s="483">
        <f>M1267</f>
        <v>-1.5428456691757686</v>
      </c>
      <c r="N1298" s="483">
        <f>N1267</f>
        <v>-0.44913306386497126</v>
      </c>
      <c r="O1298" s="482">
        <f t="shared" si="536"/>
        <v>1.5019889823636022E-3</v>
      </c>
      <c r="P1298" s="482">
        <f t="shared" si="536"/>
        <v>0</v>
      </c>
      <c r="Q1298" s="482">
        <f t="shared" si="536"/>
        <v>0</v>
      </c>
      <c r="R1298" s="482">
        <f t="shared" si="536"/>
        <v>-5.7448086945748955E-4</v>
      </c>
      <c r="S1298" s="482"/>
    </row>
    <row r="1299" spans="1:19" s="418" customFormat="1" ht="12" customHeight="1" x14ac:dyDescent="0.35">
      <c r="A1299" s="418" t="s">
        <v>67</v>
      </c>
      <c r="G1299" s="486">
        <f>(G1254*G973)/G1119</f>
        <v>2.9696106070449925E-3</v>
      </c>
      <c r="H1299" s="486">
        <f>(H1254*H973)/H1119</f>
        <v>4.9884070965247823E-3</v>
      </c>
      <c r="I1299" s="486">
        <f>(I1254*I973)/I1119</f>
        <v>3.6000470254491631E-3</v>
      </c>
      <c r="J1299" s="487">
        <f>(J1254*J973)/10678854</f>
        <v>1.1056758282152037</v>
      </c>
      <c r="K1299" s="487">
        <f>(K1254*K973)/2381439</f>
        <v>0.92042743385497572</v>
      </c>
      <c r="L1299" s="487">
        <f>(L1254*L973)/36408</f>
        <v>28.94975858026897</v>
      </c>
      <c r="M1299" s="487">
        <f>(M1254*M973)/705460</f>
        <v>11.903338191618984</v>
      </c>
      <c r="N1299" s="487">
        <f>(N1254*N973)/1099952</f>
        <v>3.5223609426367788</v>
      </c>
      <c r="O1299" s="486">
        <f>(O1254*O973)/O1119</f>
        <v>1.3604777779584669E-3</v>
      </c>
      <c r="P1299" s="486">
        <f>(P1254*P973)/P1119</f>
        <v>0</v>
      </c>
      <c r="Q1299" s="486">
        <f>(Q1254*Q973)/Q1119</f>
        <v>0</v>
      </c>
      <c r="R1299" s="486">
        <f>(R1254*R973)/R1119</f>
        <v>2.4427365584478201E-3</v>
      </c>
      <c r="S1299" s="482"/>
    </row>
    <row r="1300" spans="1:19" s="418" customFormat="1" ht="12" customHeight="1" x14ac:dyDescent="0.2">
      <c r="B1300" s="418" t="s">
        <v>68</v>
      </c>
      <c r="G1300" s="488">
        <f t="shared" ref="G1300:O1300" si="537">SUM(G1298:G1299)</f>
        <v>2.4428280058579849E-3</v>
      </c>
      <c r="H1300" s="488">
        <f t="shared" si="537"/>
        <v>3.6966821787945848E-3</v>
      </c>
      <c r="I1300" s="488">
        <f>SUM(I1298:I1299)</f>
        <v>2.9718576977682855E-3</v>
      </c>
      <c r="J1300" s="489">
        <f t="shared" si="537"/>
        <v>0.8591429705712248</v>
      </c>
      <c r="K1300" s="489">
        <f t="shared" si="537"/>
        <v>0.73364124262884012</v>
      </c>
      <c r="L1300" s="489">
        <f t="shared" si="537"/>
        <v>25.647790556734162</v>
      </c>
      <c r="M1300" s="489">
        <f t="shared" si="537"/>
        <v>10.360492522443215</v>
      </c>
      <c r="N1300" s="489">
        <f>SUM(N1298:N1299)</f>
        <v>3.0732278787718075</v>
      </c>
      <c r="O1300" s="488">
        <f t="shared" si="537"/>
        <v>2.8624667603220693E-3</v>
      </c>
      <c r="P1300" s="488">
        <f>SUM(P1298:P1299)</f>
        <v>0</v>
      </c>
      <c r="Q1300" s="488">
        <f>SUM(Q1298:Q1299)</f>
        <v>0</v>
      </c>
      <c r="R1300" s="488">
        <f>SUM(R1298:R1299)</f>
        <v>1.8682556889903306E-3</v>
      </c>
      <c r="S1300" s="482"/>
    </row>
    <row r="1301" spans="1:19" s="418" customFormat="1" ht="12" customHeight="1" x14ac:dyDescent="0.2">
      <c r="J1301" s="55"/>
      <c r="K1301" s="55"/>
      <c r="L1301" s="55"/>
      <c r="M1301" s="55"/>
      <c r="N1301" s="55"/>
    </row>
    <row r="1302" spans="1:19" s="418" customFormat="1" ht="12" customHeight="1" x14ac:dyDescent="0.2">
      <c r="A1302" s="417" t="s">
        <v>70</v>
      </c>
      <c r="J1302" s="55"/>
      <c r="K1302" s="55"/>
      <c r="L1302" s="55"/>
      <c r="M1302" s="55"/>
      <c r="N1302" s="55"/>
    </row>
    <row r="1303" spans="1:19" s="418" customFormat="1" ht="12" customHeight="1" x14ac:dyDescent="0.2">
      <c r="A1303" s="418" t="s">
        <v>71</v>
      </c>
      <c r="G1303" s="482">
        <f>G1268</f>
        <v>-5.3059345868487144E-4</v>
      </c>
      <c r="H1303" s="482">
        <f t="shared" ref="H1303:R1303" si="538">H1268</f>
        <v>-1.362294143906008E-3</v>
      </c>
      <c r="I1303" s="482">
        <f>I1268</f>
        <v>-5.7665972639818844E-4</v>
      </c>
      <c r="J1303" s="483">
        <f t="shared" si="538"/>
        <v>-0.33243553792347996</v>
      </c>
      <c r="K1303" s="483">
        <f t="shared" si="538"/>
        <v>-0.28677423797632845</v>
      </c>
      <c r="L1303" s="483">
        <f t="shared" si="538"/>
        <v>-4.9725542824061124</v>
      </c>
      <c r="M1303" s="483">
        <f>M1268</f>
        <v>-1.9025794417987785</v>
      </c>
      <c r="N1303" s="483">
        <f>N1268</f>
        <v>-0.52240699806427904</v>
      </c>
      <c r="O1303" s="482">
        <f t="shared" si="538"/>
        <v>2.0504769055490887E-3</v>
      </c>
      <c r="P1303" s="482">
        <f t="shared" si="538"/>
        <v>0</v>
      </c>
      <c r="Q1303" s="482">
        <f t="shared" si="538"/>
        <v>0</v>
      </c>
      <c r="R1303" s="482">
        <f t="shared" si="538"/>
        <v>-6.2500525373373572E-4</v>
      </c>
      <c r="S1303" s="482"/>
    </row>
    <row r="1304" spans="1:19" s="418" customFormat="1" ht="12" customHeight="1" x14ac:dyDescent="0.35">
      <c r="A1304" s="418" t="s">
        <v>72</v>
      </c>
      <c r="G1304" s="486">
        <f>(G1255*G973)/G1119</f>
        <v>2.6586055538230877E-3</v>
      </c>
      <c r="H1304" s="486">
        <f>(H1255*H973)/H1119</f>
        <v>4.9082642019302137E-3</v>
      </c>
      <c r="I1304" s="486">
        <f>(I1255*I973)/I1119</f>
        <v>3.0003624136178656E-3</v>
      </c>
      <c r="J1304" s="487">
        <f>(J1255*J973)/10678854</f>
        <v>1.4044748948476935</v>
      </c>
      <c r="K1304" s="487">
        <f>(K1255*K973)/2381439</f>
        <v>1.3331575998046026</v>
      </c>
      <c r="L1304" s="487">
        <f>(L1255*L973)/36408</f>
        <v>38.689102289532244</v>
      </c>
      <c r="M1304" s="487">
        <f>(M1255*M973)/705460</f>
        <v>13.198205007911882</v>
      </c>
      <c r="N1304" s="487">
        <f>(N1255*N973)/1099952</f>
        <v>3.6921450464435619</v>
      </c>
      <c r="O1304" s="486">
        <f>(O1255*O973)/O1119</f>
        <v>1.8054382134712482E-3</v>
      </c>
      <c r="P1304" s="486">
        <f>(P1255*P973)/P1119</f>
        <v>0</v>
      </c>
      <c r="Q1304" s="486">
        <f>(Q1255*Q973)/Q1119</f>
        <v>0</v>
      </c>
      <c r="R1304" s="486">
        <f>(R1255*R973)/R1119</f>
        <v>2.4536733662646067E-3</v>
      </c>
      <c r="S1304" s="482"/>
    </row>
    <row r="1305" spans="1:19" s="418" customFormat="1" ht="12" customHeight="1" x14ac:dyDescent="0.2">
      <c r="B1305" s="418" t="s">
        <v>227</v>
      </c>
      <c r="G1305" s="488">
        <f t="shared" ref="G1305:O1305" si="539">SUM(G1303:G1304)</f>
        <v>2.1280120951382162E-3</v>
      </c>
      <c r="H1305" s="488">
        <f t="shared" si="539"/>
        <v>3.545970058024206E-3</v>
      </c>
      <c r="I1305" s="488">
        <f>SUM(I1303:I1304)</f>
        <v>2.4237026872196772E-3</v>
      </c>
      <c r="J1305" s="489">
        <f t="shared" si="539"/>
        <v>1.0720393569242135</v>
      </c>
      <c r="K1305" s="489">
        <f t="shared" si="539"/>
        <v>1.0463833618282741</v>
      </c>
      <c r="L1305" s="489">
        <f t="shared" si="539"/>
        <v>33.716548007126129</v>
      </c>
      <c r="M1305" s="489">
        <f t="shared" si="539"/>
        <v>11.295625566113104</v>
      </c>
      <c r="N1305" s="489">
        <f>SUM(N1303:N1304)</f>
        <v>3.169738048379283</v>
      </c>
      <c r="O1305" s="488">
        <f t="shared" si="539"/>
        <v>3.8559151190203367E-3</v>
      </c>
      <c r="P1305" s="488">
        <f>SUM(P1303:P1304)</f>
        <v>0</v>
      </c>
      <c r="Q1305" s="488">
        <f>SUM(Q1303:Q1304)</f>
        <v>0</v>
      </c>
      <c r="R1305" s="488">
        <f>SUM(R1303:R1304)</f>
        <v>1.828668112530871E-3</v>
      </c>
      <c r="S1305" s="482"/>
    </row>
    <row r="1306" spans="1:19" s="418" customFormat="1" ht="12" customHeight="1" x14ac:dyDescent="0.2">
      <c r="G1306" s="488"/>
      <c r="H1306" s="488"/>
      <c r="I1306" s="488"/>
      <c r="J1306" s="489"/>
      <c r="K1306" s="489"/>
      <c r="L1306" s="489"/>
      <c r="M1306" s="489"/>
      <c r="N1306" s="489"/>
      <c r="O1306" s="482"/>
      <c r="P1306" s="482"/>
      <c r="Q1306" s="482"/>
      <c r="R1306" s="482"/>
      <c r="S1306" s="482"/>
    </row>
    <row r="1307" spans="1:19" s="418" customFormat="1" ht="12" customHeight="1" x14ac:dyDescent="0.2">
      <c r="A1307" s="417" t="s">
        <v>2083</v>
      </c>
      <c r="J1307" s="55"/>
      <c r="K1307" s="55"/>
      <c r="L1307" s="55"/>
      <c r="M1307" s="55"/>
      <c r="N1307" s="55"/>
    </row>
    <row r="1308" spans="1:19" s="418" customFormat="1" ht="12" customHeight="1" x14ac:dyDescent="0.2">
      <c r="A1308" s="418" t="s">
        <v>2083</v>
      </c>
      <c r="F1308" s="418">
        <f>F186/F1119</f>
        <v>3.8683630628326894E-2</v>
      </c>
      <c r="G1308" s="482">
        <f>G1272</f>
        <v>-4.963596323783348E-3</v>
      </c>
      <c r="H1308" s="482">
        <f t="shared" ref="H1308:R1308" si="540">H1272</f>
        <v>-8.5480276865942447E-3</v>
      </c>
      <c r="I1308" s="482">
        <f>I1272</f>
        <v>-6.5772108348397034E-3</v>
      </c>
      <c r="J1308" s="483">
        <f t="shared" si="540"/>
        <v>-8.7925938946102327E-3</v>
      </c>
      <c r="K1308" s="483">
        <f t="shared" si="540"/>
        <v>-6.0275562152461359E-3</v>
      </c>
      <c r="L1308" s="483">
        <f t="shared" si="540"/>
        <v>-6.216242593219499E-3</v>
      </c>
      <c r="M1308" s="483">
        <f>M1272</f>
        <v>-5.1253655753392153E-3</v>
      </c>
      <c r="N1308" s="483">
        <f>N1272</f>
        <v>-4.5803085460052895E-3</v>
      </c>
      <c r="O1308" s="482">
        <f t="shared" si="540"/>
        <v>8.825738097631132E-3</v>
      </c>
      <c r="P1308" s="482">
        <f t="shared" si="540"/>
        <v>-1.4617580114729023E-2</v>
      </c>
      <c r="Q1308" s="482">
        <f t="shared" si="540"/>
        <v>-2.6844536956076299E-3</v>
      </c>
      <c r="R1308" s="482">
        <f t="shared" si="540"/>
        <v>-8.4908271301654334E-3</v>
      </c>
      <c r="S1308" s="482"/>
    </row>
    <row r="1309" spans="1:19" s="418" customFormat="1" ht="12" customHeight="1" x14ac:dyDescent="0.35">
      <c r="A1309" s="418" t="s">
        <v>228</v>
      </c>
      <c r="G1309" s="486">
        <f t="shared" ref="G1309:R1309" si="541">(G1259*G973)/G$1119</f>
        <v>1.9197090350761963E-4</v>
      </c>
      <c r="H1309" s="486">
        <f t="shared" si="541"/>
        <v>3.7376678277494234E-4</v>
      </c>
      <c r="I1309" s="486">
        <f t="shared" si="541"/>
        <v>3.3064159760780288E-4</v>
      </c>
      <c r="J1309" s="487">
        <f t="shared" si="541"/>
        <v>4.6171587302355749E-4</v>
      </c>
      <c r="K1309" s="487">
        <f t="shared" si="541"/>
        <v>3.3765305193738217E-4</v>
      </c>
      <c r="L1309" s="487">
        <f t="shared" si="541"/>
        <v>3.0484205367464247E-4</v>
      </c>
      <c r="M1309" s="487">
        <f t="shared" si="541"/>
        <v>2.7171962486093596E-4</v>
      </c>
      <c r="N1309" s="487">
        <f t="shared" si="541"/>
        <v>2.5933488285881075E-4</v>
      </c>
      <c r="O1309" s="486">
        <f t="shared" si="541"/>
        <v>1.9435375638217437E-4</v>
      </c>
      <c r="P1309" s="486">
        <f t="shared" si="541"/>
        <v>3.612715181872207E-4</v>
      </c>
      <c r="Q1309" s="486">
        <f t="shared" si="541"/>
        <v>1.8151291931137317E-4</v>
      </c>
      <c r="R1309" s="486">
        <f t="shared" si="541"/>
        <v>3.5038769919695215E-4</v>
      </c>
      <c r="S1309" s="482"/>
    </row>
    <row r="1310" spans="1:19" s="418" customFormat="1" ht="12" customHeight="1" x14ac:dyDescent="0.2">
      <c r="B1310" s="418" t="s">
        <v>229</v>
      </c>
      <c r="G1310" s="488">
        <f t="shared" ref="G1310:M1310" si="542">SUM(G1308:G1309)</f>
        <v>-4.7716254202757281E-3</v>
      </c>
      <c r="H1310" s="488">
        <f t="shared" si="542"/>
        <v>-8.1742609038193016E-3</v>
      </c>
      <c r="I1310" s="488">
        <f>SUM(I1308:I1309)</f>
        <v>-6.2465692372319003E-3</v>
      </c>
      <c r="J1310" s="489">
        <f t="shared" si="542"/>
        <v>-8.3308780215866751E-3</v>
      </c>
      <c r="K1310" s="489">
        <f t="shared" si="542"/>
        <v>-5.6899031633087533E-3</v>
      </c>
      <c r="L1310" s="489">
        <f t="shared" si="542"/>
        <v>-5.9114005395448565E-3</v>
      </c>
      <c r="M1310" s="489">
        <f t="shared" si="542"/>
        <v>-4.8536459504782796E-3</v>
      </c>
      <c r="N1310" s="489">
        <f>SUM(N1308:N1309)</f>
        <v>-4.3209736631464792E-3</v>
      </c>
      <c r="O1310" s="488">
        <f>SUM(O1308:O1309)</f>
        <v>9.0200918540133072E-3</v>
      </c>
      <c r="P1310" s="488">
        <f>SUM(P1308:P1309)</f>
        <v>-1.4256308596541803E-2</v>
      </c>
      <c r="Q1310" s="488">
        <f>SUM(Q1308:Q1309)</f>
        <v>-2.5029407762962568E-3</v>
      </c>
      <c r="R1310" s="488">
        <f>SUM(R1308:R1309)</f>
        <v>-8.1404394309684807E-3</v>
      </c>
      <c r="S1310" s="482"/>
    </row>
    <row r="1311" spans="1:19" s="418" customFormat="1" ht="12" customHeight="1" x14ac:dyDescent="0.2">
      <c r="G1311" s="488"/>
      <c r="H1311" s="488"/>
      <c r="I1311" s="488"/>
      <c r="J1311" s="489"/>
      <c r="K1311" s="489"/>
      <c r="L1311" s="489"/>
      <c r="M1311" s="489"/>
      <c r="N1311" s="489"/>
      <c r="O1311" s="482"/>
      <c r="P1311" s="482"/>
      <c r="Q1311" s="482"/>
      <c r="R1311" s="482"/>
      <c r="S1311" s="482"/>
    </row>
    <row r="1312" spans="1:19" s="418" customFormat="1" ht="12" customHeight="1" x14ac:dyDescent="0.2">
      <c r="A1312" s="417" t="s">
        <v>230</v>
      </c>
      <c r="J1312" s="55"/>
      <c r="K1312" s="55"/>
      <c r="L1312" s="55"/>
      <c r="M1312" s="55"/>
      <c r="N1312" s="55"/>
    </row>
    <row r="1313" spans="1:19" s="418" customFormat="1" ht="12" customHeight="1" x14ac:dyDescent="0.2">
      <c r="A1313" s="418" t="s">
        <v>231</v>
      </c>
      <c r="G1313" s="482">
        <f t="shared" ref="G1313:R1313" si="543">G1269</f>
        <v>-5.2300289570885063E-5</v>
      </c>
      <c r="H1313" s="482">
        <f t="shared" si="543"/>
        <v>-1.7650035364216404E-4</v>
      </c>
      <c r="I1313" s="482">
        <f t="shared" si="543"/>
        <v>-1.1167177022019795E-4</v>
      </c>
      <c r="J1313" s="483">
        <f t="shared" si="543"/>
        <v>-5.6512840565706726E-2</v>
      </c>
      <c r="K1313" s="483">
        <f t="shared" si="543"/>
        <v>-3.9630301562184639E-2</v>
      </c>
      <c r="L1313" s="483">
        <f t="shared" si="543"/>
        <v>-0.87458318400860624</v>
      </c>
      <c r="M1313" s="483">
        <f t="shared" si="543"/>
        <v>-0.34316810868851094</v>
      </c>
      <c r="N1313" s="483">
        <f t="shared" si="543"/>
        <v>-9.0541692550681244E-2</v>
      </c>
      <c r="O1313" s="482">
        <f t="shared" si="543"/>
        <v>4.2310848433295439E-4</v>
      </c>
      <c r="P1313" s="482">
        <f t="shared" si="543"/>
        <v>-3.8239839163921693E-4</v>
      </c>
      <c r="Q1313" s="482">
        <f t="shared" si="543"/>
        <v>1.8933892705783061E-5</v>
      </c>
      <c r="R1313" s="482">
        <f t="shared" si="543"/>
        <v>-1.7373838883548822E-4</v>
      </c>
      <c r="S1313" s="482"/>
    </row>
    <row r="1314" spans="1:19" s="418" customFormat="1" ht="12" customHeight="1" x14ac:dyDescent="0.35">
      <c r="A1314" s="418" t="s">
        <v>232</v>
      </c>
      <c r="G1314" s="486">
        <f>(G1256*G973)/G1119</f>
        <v>3.0531058776644651E-4</v>
      </c>
      <c r="H1314" s="486">
        <f>(H1256*H973)/H1119</f>
        <v>5.860808914673536E-4</v>
      </c>
      <c r="I1314" s="486">
        <f>(I1256*I973)/I1119</f>
        <v>5.2248284321932575E-4</v>
      </c>
      <c r="J1314" s="487">
        <f>(J1256*J973)/10678854</f>
        <v>0.21046093300174915</v>
      </c>
      <c r="K1314" s="487">
        <f>(K1256*K973)/2381439</f>
        <v>0.16825697186539387</v>
      </c>
      <c r="L1314" s="487">
        <f>(L1256*L973)/36408</f>
        <v>5.9888868180882939</v>
      </c>
      <c r="M1314" s="487">
        <f>(M1256*M973)/705460</f>
        <v>2.2133876514975208</v>
      </c>
      <c r="N1314" s="487">
        <f>(N1256*N973)/1092494</f>
        <v>0.60727659407721568</v>
      </c>
      <c r="O1314" s="486">
        <f>(O1256*O973)/O1119</f>
        <v>3.0936211274934982E-4</v>
      </c>
      <c r="P1314" s="486">
        <f>(P1256*P973)/P1119</f>
        <v>5.7505306750107901E-4</v>
      </c>
      <c r="Q1314" s="486">
        <f>(Q1256*Q973)/Q1119</f>
        <v>2.8918986311503645E-4</v>
      </c>
      <c r="R1314" s="486">
        <f>(R1256*R973)/R1119</f>
        <v>5.8759366590268062E-4</v>
      </c>
      <c r="S1314" s="482"/>
    </row>
    <row r="1315" spans="1:19" s="418" customFormat="1" ht="12" customHeight="1" x14ac:dyDescent="0.2">
      <c r="B1315" s="418" t="s">
        <v>233</v>
      </c>
      <c r="G1315" s="488">
        <f t="shared" ref="G1315:M1315" si="544">SUM(G1313:G1314)</f>
        <v>2.5301029819556147E-4</v>
      </c>
      <c r="H1315" s="488">
        <f t="shared" si="544"/>
        <v>4.0958053782518954E-4</v>
      </c>
      <c r="I1315" s="488">
        <f>SUM(I1313:I1314)</f>
        <v>4.1081107299912781E-4</v>
      </c>
      <c r="J1315" s="489">
        <f t="shared" si="544"/>
        <v>0.15394809243604241</v>
      </c>
      <c r="K1315" s="489">
        <f t="shared" si="544"/>
        <v>0.12862667030320923</v>
      </c>
      <c r="L1315" s="489">
        <f t="shared" si="544"/>
        <v>5.1143036340796879</v>
      </c>
      <c r="M1315" s="489">
        <f t="shared" si="544"/>
        <v>1.8702195428090098</v>
      </c>
      <c r="N1315" s="489">
        <f>SUM(N1313:N1314)</f>
        <v>0.51673490152653445</v>
      </c>
      <c r="O1315" s="488">
        <f>SUM(O1313:O1314)</f>
        <v>7.3247059708230421E-4</v>
      </c>
      <c r="P1315" s="488">
        <f>SUM(P1313:P1314)</f>
        <v>1.9265467586186208E-4</v>
      </c>
      <c r="Q1315" s="488">
        <f>SUM(Q1313:Q1314)</f>
        <v>3.081237558208195E-4</v>
      </c>
      <c r="R1315" s="488">
        <f>SUM(R1313:R1314)</f>
        <v>4.138552770671924E-4</v>
      </c>
      <c r="S1315" s="482"/>
    </row>
    <row r="1316" spans="1:19" s="418" customFormat="1" ht="12" customHeight="1" x14ac:dyDescent="0.2">
      <c r="J1316" s="55"/>
      <c r="K1316" s="55"/>
      <c r="L1316" s="55"/>
      <c r="M1316" s="55"/>
      <c r="N1316" s="55"/>
    </row>
    <row r="1317" spans="1:19" s="418" customFormat="1" ht="12" customHeight="1" x14ac:dyDescent="0.2">
      <c r="A1317" s="417" t="s">
        <v>234</v>
      </c>
      <c r="J1317" s="55"/>
      <c r="K1317" s="55"/>
      <c r="L1317" s="55"/>
      <c r="M1317" s="55"/>
      <c r="N1317" s="55"/>
    </row>
    <row r="1318" spans="1:19" s="418" customFormat="1" ht="12" customHeight="1" x14ac:dyDescent="0.2">
      <c r="A1318" s="418" t="s">
        <v>231</v>
      </c>
      <c r="G1318" s="482">
        <f t="shared" ref="G1318:R1318" si="545">G1270</f>
        <v>-6.7390234323844484E-5</v>
      </c>
      <c r="H1318" s="482">
        <f t="shared" si="545"/>
        <v>-1.9901469205414399E-4</v>
      </c>
      <c r="I1318" s="482">
        <f t="shared" si="545"/>
        <v>-1.0193299218661496E-4</v>
      </c>
      <c r="J1318" s="483">
        <f t="shared" si="545"/>
        <v>-3.9331335558278772E-2</v>
      </c>
      <c r="K1318" s="483">
        <f t="shared" si="545"/>
        <v>-2.8719646868286257E-2</v>
      </c>
      <c r="L1318" s="483">
        <f t="shared" si="545"/>
        <v>-0.56006082537119195</v>
      </c>
      <c r="M1318" s="483">
        <f t="shared" si="545"/>
        <v>-0.24448568960340988</v>
      </c>
      <c r="N1318" s="483">
        <f t="shared" si="545"/>
        <v>-6.9571466105792124E-2</v>
      </c>
      <c r="O1318" s="482">
        <f t="shared" si="545"/>
        <v>2.4649680472567072E-4</v>
      </c>
      <c r="P1318" s="482">
        <f t="shared" si="545"/>
        <v>0</v>
      </c>
      <c r="Q1318" s="482">
        <f t="shared" si="545"/>
        <v>0</v>
      </c>
      <c r="R1318" s="482">
        <f t="shared" si="545"/>
        <v>-9.5682067051032461E-5</v>
      </c>
      <c r="S1318" s="482"/>
    </row>
    <row r="1319" spans="1:19" s="418" customFormat="1" ht="12" customHeight="1" x14ac:dyDescent="0.35">
      <c r="A1319" s="418" t="s">
        <v>232</v>
      </c>
      <c r="G1319" s="486">
        <f>(G1257*G973)/G1119</f>
        <v>3.9340034672743655E-4</v>
      </c>
      <c r="H1319" s="486">
        <f>(H1257*H973)/H1119</f>
        <v>6.6084121491714529E-4</v>
      </c>
      <c r="I1319" s="486">
        <f>(I1257*I973)/I1119</f>
        <v>4.7691766209579663E-4</v>
      </c>
      <c r="J1319" s="487">
        <f>(J1257*J973)/10678854</f>
        <v>0.14647484527301072</v>
      </c>
      <c r="K1319" s="487">
        <f>(K1257*K973)/2381439</f>
        <v>0.12193399052285442</v>
      </c>
      <c r="L1319" s="487">
        <f>(L1257*L973)/36408</f>
        <v>3.8351307865532682</v>
      </c>
      <c r="M1319" s="487">
        <f>(M1257*M973)/705460</f>
        <v>1.5768994630769437</v>
      </c>
      <c r="N1319" s="487">
        <f>(N1257*N973)/1099952</f>
        <v>0.46662616736521312</v>
      </c>
      <c r="O1319" s="486">
        <f>(O1257*O973)/O1119</f>
        <v>1.8022983494674869E-4</v>
      </c>
      <c r="P1319" s="486">
        <f>(P1257*P973)/P1119</f>
        <v>0</v>
      </c>
      <c r="Q1319" s="486">
        <f>(Q1257*Q973)/Q1119</f>
        <v>0</v>
      </c>
      <c r="R1319" s="486">
        <f>(R1257*R973)/R1119</f>
        <v>3.2360249750501969E-4</v>
      </c>
      <c r="S1319" s="482"/>
    </row>
    <row r="1320" spans="1:19" s="418" customFormat="1" ht="12" customHeight="1" x14ac:dyDescent="0.2">
      <c r="B1320" s="418" t="s">
        <v>233</v>
      </c>
      <c r="G1320" s="488">
        <f t="shared" ref="G1320:M1320" si="546">SUM(G1318:G1319)</f>
        <v>3.2601011240359208E-4</v>
      </c>
      <c r="H1320" s="488">
        <f t="shared" si="546"/>
        <v>4.618265228630013E-4</v>
      </c>
      <c r="I1320" s="488">
        <f>SUM(I1318:I1319)</f>
        <v>3.749846699091817E-4</v>
      </c>
      <c r="J1320" s="489">
        <f t="shared" si="546"/>
        <v>0.10714350971473194</v>
      </c>
      <c r="K1320" s="489">
        <f t="shared" si="546"/>
        <v>9.3214343654568155E-2</v>
      </c>
      <c r="L1320" s="489">
        <f t="shared" si="546"/>
        <v>3.2750699611820764</v>
      </c>
      <c r="M1320" s="489">
        <f t="shared" si="546"/>
        <v>1.332413773473534</v>
      </c>
      <c r="N1320" s="489">
        <f>SUM(N1318:N1319)</f>
        <v>0.39705470125942099</v>
      </c>
      <c r="O1320" s="488">
        <f>SUM(O1318:O1319)</f>
        <v>4.2672663967241941E-4</v>
      </c>
      <c r="P1320" s="488">
        <f>SUM(P1318:P1319)</f>
        <v>0</v>
      </c>
      <c r="Q1320" s="488">
        <f>SUM(Q1318:Q1319)</f>
        <v>0</v>
      </c>
      <c r="R1320" s="488">
        <f>SUM(R1318:R1319)</f>
        <v>2.2792043045398723E-4</v>
      </c>
      <c r="S1320" s="482"/>
    </row>
    <row r="1321" spans="1:19" s="418" customFormat="1" ht="12" customHeight="1" x14ac:dyDescent="0.2">
      <c r="J1321" s="55"/>
      <c r="K1321" s="55"/>
      <c r="L1321" s="55"/>
      <c r="M1321" s="55"/>
      <c r="N1321" s="55"/>
    </row>
    <row r="1322" spans="1:19" s="418" customFormat="1" ht="12" customHeight="1" x14ac:dyDescent="0.2">
      <c r="A1322" s="417" t="s">
        <v>235</v>
      </c>
      <c r="J1322" s="55"/>
      <c r="K1322" s="55"/>
      <c r="L1322" s="55"/>
      <c r="M1322" s="55"/>
      <c r="N1322" s="55"/>
    </row>
    <row r="1323" spans="1:19" s="418" customFormat="1" ht="12" customHeight="1" x14ac:dyDescent="0.2">
      <c r="A1323" s="418" t="s">
        <v>236</v>
      </c>
      <c r="G1323" s="482">
        <f t="shared" ref="G1323:R1323" si="547">G1271</f>
        <v>-6.0332506498249427E-5</v>
      </c>
      <c r="H1323" s="482">
        <f t="shared" si="547"/>
        <v>-1.9581735607505427E-4</v>
      </c>
      <c r="I1323" s="482">
        <f t="shared" si="547"/>
        <v>-8.4953312082406885E-5</v>
      </c>
      <c r="J1323" s="483">
        <f t="shared" si="547"/>
        <v>-4.996027946238258E-2</v>
      </c>
      <c r="K1323" s="483">
        <f t="shared" si="547"/>
        <v>-4.1597864294202466E-2</v>
      </c>
      <c r="L1323" s="483">
        <f t="shared" si="547"/>
        <v>-0.74847776367690011</v>
      </c>
      <c r="M1323" s="483">
        <f t="shared" si="547"/>
        <v>-0.27108128836988343</v>
      </c>
      <c r="N1323" s="483">
        <f t="shared" si="547"/>
        <v>-7.2924935331593305E-2</v>
      </c>
      <c r="O1323" s="482">
        <f t="shared" si="547"/>
        <v>3.2711651594787906E-4</v>
      </c>
      <c r="P1323" s="482">
        <f t="shared" si="547"/>
        <v>0</v>
      </c>
      <c r="Q1323" s="482">
        <f t="shared" si="547"/>
        <v>0</v>
      </c>
      <c r="R1323" s="482">
        <f t="shared" si="547"/>
        <v>-9.6110462153742521E-5</v>
      </c>
      <c r="S1323" s="482"/>
    </row>
    <row r="1324" spans="1:19" s="418" customFormat="1" ht="12" customHeight="1" x14ac:dyDescent="0.35">
      <c r="A1324" s="418" t="s">
        <v>237</v>
      </c>
      <c r="G1324" s="486">
        <f>(G1258*G973)/G1119</f>
        <v>3.5219982855807613E-4</v>
      </c>
      <c r="H1324" s="486">
        <f>(H1258*H973)/H1119</f>
        <v>6.5022425306819197E-4</v>
      </c>
      <c r="I1324" s="486">
        <f>(I1258*I973)/I1119</f>
        <v>3.9747420453881523E-4</v>
      </c>
      <c r="J1324" s="487">
        <f>(J1258*J973)/10678854</f>
        <v>0.18605837051237714</v>
      </c>
      <c r="K1324" s="487">
        <f>(K1258*K973)/2381439</f>
        <v>0.17661058347556663</v>
      </c>
      <c r="L1324" s="487">
        <f>(L1258*L973)/36408</f>
        <v>5.1253542195623751</v>
      </c>
      <c r="M1324" s="487">
        <f>(M1258*M973)/705460</f>
        <v>1.7484374597715253</v>
      </c>
      <c r="N1324" s="487">
        <f>(N1258*N973)/1099952</f>
        <v>0.48911838407131525</v>
      </c>
      <c r="O1324" s="486">
        <f>(O1258*O973)/O1119</f>
        <v>2.3917614568373324E-4</v>
      </c>
      <c r="P1324" s="486">
        <f>(P1258*P973)/P1119</f>
        <v>0</v>
      </c>
      <c r="Q1324" s="486">
        <f>(Q1258*Q973)/Q1119</f>
        <v>0</v>
      </c>
      <c r="R1324" s="486">
        <f>(R1258*R973)/R1119</f>
        <v>3.2505135547212426E-4</v>
      </c>
      <c r="S1324" s="482"/>
    </row>
    <row r="1325" spans="1:19" s="418" customFormat="1" ht="12" customHeight="1" x14ac:dyDescent="0.2">
      <c r="B1325" s="418" t="s">
        <v>238</v>
      </c>
      <c r="G1325" s="488">
        <f t="shared" ref="G1325:M1325" si="548">SUM(G1323:G1324)</f>
        <v>2.9186732205982669E-4</v>
      </c>
      <c r="H1325" s="488">
        <f t="shared" si="548"/>
        <v>4.5440689699313773E-4</v>
      </c>
      <c r="I1325" s="488">
        <f>SUM(I1323:I1324)</f>
        <v>3.1252089245640836E-4</v>
      </c>
      <c r="J1325" s="489">
        <f t="shared" si="548"/>
        <v>0.13609809104999457</v>
      </c>
      <c r="K1325" s="489">
        <f t="shared" si="548"/>
        <v>0.13501271918136415</v>
      </c>
      <c r="L1325" s="489">
        <f t="shared" si="548"/>
        <v>4.3768764558854754</v>
      </c>
      <c r="M1325" s="489">
        <f t="shared" si="548"/>
        <v>1.4773561714016419</v>
      </c>
      <c r="N1325" s="489">
        <f>SUM(N1323:N1324)</f>
        <v>0.41619344873972197</v>
      </c>
      <c r="O1325" s="488">
        <f>SUM(O1323:O1324)</f>
        <v>5.6629266163161227E-4</v>
      </c>
      <c r="P1325" s="488">
        <f>SUM(P1323:P1324)</f>
        <v>0</v>
      </c>
      <c r="Q1325" s="488">
        <f>SUM(Q1323:Q1324)</f>
        <v>0</v>
      </c>
      <c r="R1325" s="488">
        <f>SUM(R1323:R1324)</f>
        <v>2.2894089331838174E-4</v>
      </c>
      <c r="S1325" s="482"/>
    </row>
    <row r="1326" spans="1:19" s="418" customFormat="1" ht="12" customHeight="1" x14ac:dyDescent="0.2">
      <c r="J1326" s="55"/>
      <c r="K1326" s="55"/>
      <c r="L1326" s="55"/>
      <c r="M1326" s="55"/>
      <c r="N1326" s="55"/>
    </row>
    <row r="1327" spans="1:19" s="418" customFormat="1" ht="12" customHeight="1" x14ac:dyDescent="0.2">
      <c r="A1327" s="417" t="s">
        <v>1756</v>
      </c>
      <c r="J1327" s="55"/>
      <c r="K1327" s="55"/>
      <c r="L1327" s="55"/>
      <c r="M1327" s="55"/>
      <c r="N1327" s="55"/>
    </row>
    <row r="1328" spans="1:19" s="418" customFormat="1" ht="12" customHeight="1" x14ac:dyDescent="0.2">
      <c r="A1328" s="418" t="s">
        <v>1868</v>
      </c>
      <c r="G1328" s="482">
        <f t="shared" ref="G1328:R1328" si="549">G1273</f>
        <v>-2.5702813373455839E-4</v>
      </c>
      <c r="H1328" s="482">
        <f t="shared" si="549"/>
        <v>-7.8799393875038002E-4</v>
      </c>
      <c r="I1328" s="482">
        <f t="shared" si="549"/>
        <v>-5.0744743449767141E-4</v>
      </c>
      <c r="J1328" s="483">
        <f t="shared" si="549"/>
        <v>-0.15660286526087402</v>
      </c>
      <c r="K1328" s="483">
        <f t="shared" si="549"/>
        <v>-0.10107680289083303</v>
      </c>
      <c r="L1328" s="483">
        <f t="shared" si="549"/>
        <v>-2.2623309656532098</v>
      </c>
      <c r="M1328" s="483">
        <f t="shared" si="549"/>
        <v>-0.77061433746364649</v>
      </c>
      <c r="N1328" s="483">
        <f t="shared" si="549"/>
        <v>0</v>
      </c>
      <c r="O1328" s="482">
        <f t="shared" si="549"/>
        <v>0</v>
      </c>
      <c r="P1328" s="482">
        <f t="shared" si="549"/>
        <v>-1.263218072423535E-3</v>
      </c>
      <c r="Q1328" s="482">
        <f t="shared" si="549"/>
        <v>5.6415195526120767E-5</v>
      </c>
      <c r="R1328" s="482">
        <f t="shared" si="549"/>
        <v>-3.0511154971078015E-4</v>
      </c>
      <c r="S1328" s="482"/>
    </row>
    <row r="1329" spans="1:19" s="418" customFormat="1" ht="12" customHeight="1" x14ac:dyDescent="0.35">
      <c r="A1329" s="418" t="s">
        <v>1869</v>
      </c>
      <c r="G1329" s="486">
        <f>(G1260*G973)/G$1119</f>
        <v>1.5730416498048005E-3</v>
      </c>
      <c r="H1329" s="486">
        <f>(H1260*H973)/H$1119</f>
        <v>2.6305051352131441E-3</v>
      </c>
      <c r="I1329" s="486">
        <f>(I1260*I973)/I$1119</f>
        <v>2.291640401218997E-3</v>
      </c>
      <c r="J1329" s="487">
        <f>(J1260*J973)/10678854</f>
        <v>0.57125862635055802</v>
      </c>
      <c r="K1329" s="487">
        <f>(K1260*K973)/2381439</f>
        <v>0.38301084567274207</v>
      </c>
      <c r="L1329" s="487">
        <f>(L1260*L973)/36408</f>
        <v>14.968262102879855</v>
      </c>
      <c r="M1329" s="487">
        <f>(M1260*M973)/705460</f>
        <v>4.2070172539899415</v>
      </c>
      <c r="N1329" s="487">
        <f>(N1260*N973)/1099952</f>
        <v>0</v>
      </c>
      <c r="O1329" s="486">
        <f>(O1260*O973)/O$1119</f>
        <v>0</v>
      </c>
      <c r="P1329" s="486">
        <f>(P1260*P973)/P$1119</f>
        <v>1.8445086028443431E-3</v>
      </c>
      <c r="Q1329" s="486">
        <f>(Q1260*Q973)/Q$1119</f>
        <v>9.2770950167216906E-4</v>
      </c>
      <c r="R1329" s="486">
        <f>(R1260*R973)/R$1119</f>
        <v>9.9986412438232675E-4</v>
      </c>
      <c r="S1329" s="486"/>
    </row>
    <row r="1330" spans="1:19" s="418" customFormat="1" ht="12" customHeight="1" x14ac:dyDescent="0.2">
      <c r="B1330" s="418" t="s">
        <v>1870</v>
      </c>
      <c r="G1330" s="482">
        <f>G1328+G1329</f>
        <v>1.3160135160702421E-3</v>
      </c>
      <c r="H1330" s="482">
        <f t="shared" ref="H1330:M1330" si="550">H1328+H1329</f>
        <v>1.842511196462764E-3</v>
      </c>
      <c r="I1330" s="482">
        <f>I1328+I1329</f>
        <v>1.7841929667213256E-3</v>
      </c>
      <c r="J1330" s="483">
        <f t="shared" si="550"/>
        <v>0.41465576108968399</v>
      </c>
      <c r="K1330" s="483">
        <f t="shared" si="550"/>
        <v>0.28193404278190903</v>
      </c>
      <c r="L1330" s="483">
        <f t="shared" si="550"/>
        <v>12.705931137226646</v>
      </c>
      <c r="M1330" s="483">
        <f t="shared" si="550"/>
        <v>3.436402916526295</v>
      </c>
      <c r="N1330" s="483">
        <f>N1328+N1329</f>
        <v>0</v>
      </c>
      <c r="O1330" s="482">
        <f>O1328+O1329</f>
        <v>0</v>
      </c>
      <c r="P1330" s="482">
        <f>P1328+P1329</f>
        <v>5.8129053042080812E-4</v>
      </c>
      <c r="Q1330" s="482">
        <f>Q1328+Q1329</f>
        <v>9.8412469719828984E-4</v>
      </c>
      <c r="R1330" s="482">
        <f>R1328+R1329</f>
        <v>6.9475257467154655E-4</v>
      </c>
      <c r="S1330" s="482"/>
    </row>
    <row r="1331" spans="1:19" s="418" customFormat="1" ht="12" customHeight="1" x14ac:dyDescent="0.2">
      <c r="J1331" s="55"/>
      <c r="K1331" s="55"/>
      <c r="L1331" s="55"/>
      <c r="M1331" s="55"/>
      <c r="N1331" s="55"/>
    </row>
    <row r="1332" spans="1:19" s="418" customFormat="1" ht="12" customHeight="1" x14ac:dyDescent="0.2">
      <c r="A1332" s="417" t="s">
        <v>627</v>
      </c>
      <c r="J1332" s="55"/>
      <c r="K1332" s="55"/>
      <c r="L1332" s="55"/>
      <c r="M1332" s="55"/>
      <c r="N1332" s="55"/>
    </row>
    <row r="1333" spans="1:19" s="418" customFormat="1" ht="12" customHeight="1" x14ac:dyDescent="0.2">
      <c r="A1333" s="418" t="s">
        <v>628</v>
      </c>
      <c r="G1333" s="490">
        <f t="shared" ref="G1333:L1333" si="551">G1274</f>
        <v>-1.3146985305742029</v>
      </c>
      <c r="H1333" s="490">
        <f t="shared" si="551"/>
        <v>-5.583770188557061</v>
      </c>
      <c r="I1333" s="490">
        <f>I1274</f>
        <v>-13.633028146321658</v>
      </c>
      <c r="J1333" s="413">
        <f t="shared" si="551"/>
        <v>-12.634442843154746</v>
      </c>
      <c r="K1333" s="413">
        <f t="shared" si="551"/>
        <v>-20.985764092826798</v>
      </c>
      <c r="L1333" s="413">
        <f t="shared" si="551"/>
        <v>-25.457045260748373</v>
      </c>
      <c r="M1333" s="413">
        <f t="shared" ref="M1333:R1333" si="552">M1274</f>
        <v>-32.325112131027957</v>
      </c>
      <c r="N1333" s="413">
        <f t="shared" si="552"/>
        <v>-82.503365324195457</v>
      </c>
      <c r="O1333" s="490">
        <f t="shared" si="552"/>
        <v>501.63988876001849</v>
      </c>
      <c r="P1333" s="490">
        <f t="shared" si="552"/>
        <v>-1.9199334207247245</v>
      </c>
      <c r="Q1333" s="490">
        <f t="shared" si="552"/>
        <v>-6.040234412917257E-3</v>
      </c>
      <c r="R1333" s="490">
        <f t="shared" si="552"/>
        <v>-0.75203727868313364</v>
      </c>
      <c r="S1333" s="490"/>
    </row>
    <row r="1334" spans="1:19" s="418" customFormat="1" ht="12" customHeight="1" x14ac:dyDescent="0.35">
      <c r="A1334" s="418" t="s">
        <v>629</v>
      </c>
      <c r="G1334" s="491">
        <f t="shared" ref="G1334:N1334" si="553">(G1261*G973)/G1125</f>
        <v>3.1654386590011008</v>
      </c>
      <c r="H1334" s="491">
        <f t="shared" si="553"/>
        <v>8.2616948240183028</v>
      </c>
      <c r="I1334" s="491">
        <f t="shared" si="553"/>
        <v>8.8147107418417665</v>
      </c>
      <c r="J1334" s="492">
        <f t="shared" si="553"/>
        <v>13.713397128994607</v>
      </c>
      <c r="K1334" s="492">
        <f t="shared" si="553"/>
        <v>33.216400618105069</v>
      </c>
      <c r="L1334" s="492">
        <f t="shared" si="553"/>
        <v>10.889447298371298</v>
      </c>
      <c r="M1334" s="492">
        <f t="shared" si="553"/>
        <v>31.165539588362666</v>
      </c>
      <c r="N1334" s="492">
        <f t="shared" si="553"/>
        <v>177.80332713717507</v>
      </c>
      <c r="O1334" s="491">
        <f>(O1261*O973)/O1140/12</f>
        <v>185.56626913717594</v>
      </c>
      <c r="P1334" s="491">
        <f>(P1261*P973)/P1140/12</f>
        <v>3.3294410250875619</v>
      </c>
      <c r="Q1334" s="491">
        <f>(Q1261*Q973)/Q1140/12</f>
        <v>0.75960329698983886</v>
      </c>
      <c r="R1334" s="491">
        <f>(R1261*R973)/R1140/12</f>
        <v>1.5610603933713885</v>
      </c>
      <c r="S1334" s="491"/>
    </row>
    <row r="1335" spans="1:19" s="418" customFormat="1" ht="12" customHeight="1" x14ac:dyDescent="0.2">
      <c r="B1335" s="418" t="s">
        <v>630</v>
      </c>
      <c r="G1335" s="490">
        <f>G1333+G1334</f>
        <v>1.8507401284268978</v>
      </c>
      <c r="H1335" s="490">
        <f t="shared" ref="H1335:M1335" si="554">H1333+H1334</f>
        <v>2.6779246354612418</v>
      </c>
      <c r="I1335" s="490">
        <f>I1333+I1334</f>
        <v>-4.8183174044798918</v>
      </c>
      <c r="J1335" s="413">
        <f t="shared" si="554"/>
        <v>1.0789542858398615</v>
      </c>
      <c r="K1335" s="413">
        <f t="shared" si="554"/>
        <v>12.230636525278271</v>
      </c>
      <c r="L1335" s="413">
        <f t="shared" si="554"/>
        <v>-14.567597962377075</v>
      </c>
      <c r="M1335" s="413">
        <f t="shared" si="554"/>
        <v>-1.1595725426652912</v>
      </c>
      <c r="N1335" s="413">
        <f>N1333+N1334</f>
        <v>95.299961812979618</v>
      </c>
      <c r="O1335" s="490">
        <f>O1333+O1334</f>
        <v>687.20615789719443</v>
      </c>
      <c r="P1335" s="490">
        <f>P1333+P1334</f>
        <v>1.4095076043628374</v>
      </c>
      <c r="Q1335" s="490">
        <f>Q1333+Q1334</f>
        <v>0.75356306257692163</v>
      </c>
      <c r="R1335" s="490">
        <f>R1333+R1334</f>
        <v>0.80902311468825483</v>
      </c>
      <c r="S1335" s="490"/>
    </row>
    <row r="1336" spans="1:19" s="418" customFormat="1" ht="12" customHeight="1" x14ac:dyDescent="0.2">
      <c r="J1336" s="55"/>
      <c r="K1336" s="55"/>
      <c r="L1336" s="55"/>
      <c r="M1336" s="55"/>
      <c r="N1336" s="55"/>
    </row>
    <row r="1337" spans="1:19" s="418" customFormat="1" ht="12" customHeight="1" x14ac:dyDescent="0.2">
      <c r="J1337" s="55"/>
      <c r="K1337" s="55"/>
      <c r="L1337" s="55"/>
      <c r="M1337" s="55"/>
      <c r="N1337" s="55"/>
      <c r="O1337" s="482"/>
    </row>
    <row r="1338" spans="1:19" s="418" customFormat="1" ht="12" customHeight="1" x14ac:dyDescent="0.2">
      <c r="A1338" s="418" t="s">
        <v>242</v>
      </c>
      <c r="G1338" s="493">
        <f>(G1240+G1241+G1242+G1246)+((G1253+G1254+G1255+G1259)*$F$1004)</f>
        <v>32777401.874645755</v>
      </c>
      <c r="J1338" s="55"/>
      <c r="K1338" s="55"/>
      <c r="L1338" s="55"/>
      <c r="M1338" s="405" t="e">
        <f>#REF!+#REF!</f>
        <v>#REF!</v>
      </c>
      <c r="N1338" s="494">
        <f>(N1240+N1241+N1242+N1246)+((N1253+N1254+N1255+N1259)*$F$1004)</f>
        <v>4119059.5729723275</v>
      </c>
      <c r="O1338" s="482">
        <f>O1295+O1300+O1310+O1315+O1320+O1330</f>
        <v>1.7955141944517226E-2</v>
      </c>
      <c r="P1338" s="482">
        <f>P1295+P1300+P1310+P1315+P1320+P1330</f>
        <v>-1.149440356416586E-2</v>
      </c>
      <c r="Q1338" s="482">
        <f>Q1295+Q1300+Q1310+Q1315+Q1320+Q1330</f>
        <v>1.0473092377370216E-3</v>
      </c>
      <c r="R1338" s="482">
        <f>R1295+R1300+R1310+R1315+R1320+R1330</f>
        <v>-1.5432984242210194E-3</v>
      </c>
    </row>
    <row r="1339" spans="1:19" s="418" customFormat="1" ht="12" customHeight="1" x14ac:dyDescent="0.2">
      <c r="A1339" s="418" t="s">
        <v>243</v>
      </c>
      <c r="G1339" s="493">
        <f>(G1243+G1244+G1245)+((G1256+G1257+G1258)*$F$1004)</f>
        <v>8113367.3447879069</v>
      </c>
      <c r="J1339" s="55"/>
      <c r="K1339" s="55"/>
      <c r="L1339" s="55"/>
      <c r="M1339" s="405" t="e">
        <f>#REF!+#REF!</f>
        <v>#REF!</v>
      </c>
      <c r="N1339" s="494">
        <f>(N1243+N1244+N1245)+((N1256+N1257+N1258)*$F$1004)</f>
        <v>1437511.2195388221</v>
      </c>
    </row>
    <row r="1340" spans="1:19" s="418" customFormat="1" ht="12" customHeight="1" x14ac:dyDescent="0.2">
      <c r="A1340" s="418" t="s">
        <v>244</v>
      </c>
      <c r="G1340" s="495">
        <f>(G1247+G1248)+((G1260+G1261)*$F$1004)</f>
        <v>29058402.182400901</v>
      </c>
      <c r="J1340" s="55"/>
      <c r="K1340" s="55"/>
      <c r="L1340" s="55"/>
      <c r="M1340" s="405" t="e">
        <f>#REF!+#REF!</f>
        <v>#REF!</v>
      </c>
      <c r="N1340" s="496">
        <f>(N1247+N1248)+((N1260+N1261)*$F$1004)</f>
        <v>40204.137339184905</v>
      </c>
    </row>
    <row r="1341" spans="1:19" s="418" customFormat="1" ht="12" customHeight="1" x14ac:dyDescent="0.2">
      <c r="G1341" s="497">
        <f>SUM(G1338:G1340)</f>
        <v>69949171.401834562</v>
      </c>
      <c r="J1341" s="55"/>
      <c r="K1341" s="55"/>
      <c r="L1341" s="55"/>
      <c r="M1341" s="55"/>
      <c r="N1341" s="405">
        <f>SUM(N1338:N1340)</f>
        <v>5596774.9298503343</v>
      </c>
    </row>
    <row r="1342" spans="1:19" s="418" customFormat="1" ht="12" customHeight="1" x14ac:dyDescent="0.2">
      <c r="J1342" s="55"/>
      <c r="K1342" s="55"/>
      <c r="L1342" s="55"/>
      <c r="M1342" s="55"/>
      <c r="N1342" s="55"/>
    </row>
    <row r="1343" spans="1:19" s="418" customFormat="1" ht="12" customHeight="1" x14ac:dyDescent="0.2">
      <c r="A1343" s="418" t="s">
        <v>245</v>
      </c>
      <c r="G1343" s="428">
        <f>G1338/G$1341</f>
        <v>0.46858885127245553</v>
      </c>
      <c r="J1343" s="55"/>
      <c r="K1343" s="55"/>
      <c r="L1343" s="55"/>
      <c r="M1343" s="55"/>
      <c r="N1343" s="407">
        <f>N1338/N$1341</f>
        <v>0.73597020151790826</v>
      </c>
    </row>
    <row r="1344" spans="1:19" s="418" customFormat="1" ht="12" customHeight="1" x14ac:dyDescent="0.2">
      <c r="A1344" s="418" t="s">
        <v>246</v>
      </c>
      <c r="G1344" s="428">
        <f>G1339/G$1341</f>
        <v>0.11598947038527917</v>
      </c>
      <c r="J1344" s="55"/>
      <c r="K1344" s="55"/>
      <c r="L1344" s="55"/>
      <c r="M1344" s="55"/>
      <c r="N1344" s="407">
        <f>N1339/N$1341</f>
        <v>0.25684635125701993</v>
      </c>
    </row>
    <row r="1345" spans="1:30" s="418" customFormat="1" ht="12" customHeight="1" x14ac:dyDescent="0.2">
      <c r="A1345" s="418" t="s">
        <v>247</v>
      </c>
      <c r="G1345" s="498">
        <f>G1340/G$1341</f>
        <v>0.41542167834226529</v>
      </c>
      <c r="J1345" s="55"/>
      <c r="K1345" s="55"/>
      <c r="L1345" s="55"/>
      <c r="M1345" s="55"/>
      <c r="N1345" s="499">
        <f>N1340/N$1341</f>
        <v>7.1834472250718187E-3</v>
      </c>
    </row>
    <row r="1346" spans="1:30" s="418" customFormat="1" ht="12" customHeight="1" x14ac:dyDescent="0.2">
      <c r="G1346" s="500">
        <f>SUM(G1343:G1345)</f>
        <v>1</v>
      </c>
      <c r="J1346" s="55"/>
      <c r="K1346" s="55"/>
      <c r="L1346" s="55"/>
      <c r="M1346" s="55"/>
      <c r="N1346" s="501">
        <f>SUM(N1343:N1345)</f>
        <v>1</v>
      </c>
    </row>
    <row r="1347" spans="1:30" s="418" customFormat="1" ht="12" customHeight="1" x14ac:dyDescent="0.2">
      <c r="J1347" s="55"/>
      <c r="K1347" s="55"/>
      <c r="L1347" s="55"/>
      <c r="M1347" s="55"/>
      <c r="N1347" s="55"/>
    </row>
    <row r="1348" spans="1:30" s="418" customFormat="1" ht="12" customHeight="1" x14ac:dyDescent="0.2">
      <c r="J1348" s="55"/>
      <c r="K1348" s="55"/>
      <c r="L1348" s="55"/>
      <c r="M1348" s="55"/>
      <c r="N1348" s="407" t="e">
        <f>(#REF!+N1338)/(#REF!+$N$1341)</f>
        <v>#REF!</v>
      </c>
    </row>
    <row r="1349" spans="1:30" s="418" customFormat="1" ht="12" customHeight="1" x14ac:dyDescent="0.2">
      <c r="J1349" s="55"/>
      <c r="K1349" s="55"/>
      <c r="L1349" s="55"/>
      <c r="M1349" s="55"/>
      <c r="N1349" s="407" t="e">
        <f>(#REF!+N1339)/(#REF!+$N$1341)</f>
        <v>#REF!</v>
      </c>
    </row>
    <row r="1350" spans="1:30" s="418" customFormat="1" ht="12" customHeight="1" x14ac:dyDescent="0.2">
      <c r="J1350" s="55"/>
      <c r="K1350" s="55"/>
      <c r="L1350" s="55"/>
      <c r="M1350" s="55"/>
      <c r="N1350" s="499" t="e">
        <f>(#REF!+N1340)/(#REF!+$N$1341)</f>
        <v>#REF!</v>
      </c>
    </row>
    <row r="1351" spans="1:30" s="418" customFormat="1" ht="12" customHeight="1" x14ac:dyDescent="0.2">
      <c r="J1351" s="55"/>
      <c r="K1351" s="55"/>
      <c r="L1351" s="55"/>
      <c r="M1351" s="55"/>
      <c r="N1351" s="501" t="e">
        <f>SUM(N1348:N1350)</f>
        <v>#REF!</v>
      </c>
      <c r="Y1351" s="55"/>
      <c r="Z1351" s="55"/>
      <c r="AA1351" s="55"/>
      <c r="AB1351" s="55"/>
      <c r="AC1351" s="55"/>
      <c r="AD1351" s="55"/>
    </row>
    <row r="1352" spans="1:30" s="418" customFormat="1" ht="12" customHeight="1" x14ac:dyDescent="0.2">
      <c r="J1352" s="55"/>
      <c r="K1352" s="55"/>
      <c r="L1352" s="55"/>
      <c r="M1352" s="55"/>
      <c r="N1352" s="55"/>
      <c r="Y1352" s="55"/>
      <c r="Z1352" s="55"/>
      <c r="AA1352" s="55"/>
      <c r="AB1352" s="55"/>
      <c r="AC1352" s="55"/>
      <c r="AD1352" s="55"/>
    </row>
    <row r="1354" spans="1:30" ht="12" customHeight="1" x14ac:dyDescent="0.2">
      <c r="O1354" s="55">
        <v>7821</v>
      </c>
      <c r="P1354" s="55">
        <v>1004</v>
      </c>
      <c r="Q1354" s="55">
        <v>3231</v>
      </c>
      <c r="R1354" s="55">
        <v>6300</v>
      </c>
      <c r="T1354" s="55">
        <v>519534.58333333331</v>
      </c>
    </row>
    <row r="1356" spans="1:30" ht="12" customHeight="1" x14ac:dyDescent="0.2">
      <c r="G1356" s="482">
        <f>G1295+G1300+G1305+G1310+G1315+G1320+G1325+G1330</f>
        <v>3.8819486618940631E-3</v>
      </c>
      <c r="H1356" s="482">
        <f t="shared" ref="H1356:R1356" si="555">H1295+H1300+H1305+H1310+H1315+H1320+H1325+H1330</f>
        <v>5.5151966090152878E-3</v>
      </c>
      <c r="I1356" s="482">
        <f t="shared" si="555"/>
        <v>5.2872926463924143E-3</v>
      </c>
      <c r="J1356" s="483">
        <f t="shared" si="555"/>
        <v>3.9691479853223424</v>
      </c>
      <c r="K1356" s="483">
        <f t="shared" si="555"/>
        <v>3.4254755822922833</v>
      </c>
      <c r="L1356" s="483">
        <f t="shared" si="555"/>
        <v>124.8818408460004</v>
      </c>
      <c r="M1356" s="483">
        <f t="shared" si="555"/>
        <v>44.30998294277574</v>
      </c>
      <c r="N1356" s="483">
        <f t="shared" si="555"/>
        <v>11.568188015935595</v>
      </c>
      <c r="O1356" s="482">
        <f t="shared" si="555"/>
        <v>2.2377349725169179E-2</v>
      </c>
      <c r="P1356" s="482">
        <f t="shared" si="555"/>
        <v>-1.149440356416586E-2</v>
      </c>
      <c r="Q1356" s="482">
        <f t="shared" si="555"/>
        <v>1.0473092377370216E-3</v>
      </c>
      <c r="R1356" s="482">
        <f t="shared" si="555"/>
        <v>5.1431058162823367E-4</v>
      </c>
    </row>
    <row r="1418" ht="12.75" x14ac:dyDescent="0.2"/>
    <row r="1463" ht="12.75" x14ac:dyDescent="0.2"/>
  </sheetData>
  <autoFilter ref="D2:E1356"/>
  <phoneticPr fontId="0" type="noConversion"/>
  <conditionalFormatting sqref="V1228:V1237 V1240:V1248 V1250 V1253:V1262 V1222 V1201 V1205 V1208:V1209 V1212 V1118:V1122 V1125:V1133 V1136:V1143 V1162:V1167 V1169:V1174 V1184 V1100 V1103:V1108 V1187:V1197 V1214:V1215 V1110 V1146:V1153 V1199 V1155:V1159 V901 V903 V905 V907 V909 V951 V953:V954 V956 V961 V963 V965 V967 V969 V971 V982 V984:V985 V987 V992 V994 V996 V998 V1000 V1002 V1008 V1010 V852 V854 V809 V814:V822 V669 V672:V680 V682 V684 V686 V702 V704 V706 V708 V791:V792 V8:V14 V17:V20 V23 V26 V29:V34 V37:V39 V42 V45 V48 V51 V54 V57 V59 V66:V72 V75:V78 V81 V84 V87:V92 V95:V97 V100 V103 V106 V109 V112 V115 V117 V123:V129 V132:V135 V138 V141 V144:V149 V152:V154 V157 V160 V163 V166 V169 V172 V174 V180:V186 V189:V192 V195 V198 V201:V206 V209:V211 V214 V217 V220 V223 V226 V229 V231 V237:V243 V246:V249 V252 V255 V258:V263 V266:V268 V271 V274 V277 V280 V283 V286 V288 V294:V300 V303:V306 V309 V312 V315:V320 V323:V325 V328 V331 V334 V337 V340 V343 V345 V351:V357 V360:V363 V366 V369 V372:V377 V380:V382 V385 V388 V391 V394 V397 V400 V402 V408:V414 V417:V420 V423 V426 V429:V434 V437:V439 V442 V445 V448 V451 V454 V457 V459 V465:V471 V474:V477 V480 V483 V486:V491 V494:V496 V499 V502 V505 V508 V511 V514 V516 V523:V529 V532:V535 V538 V541 V544:V549 V552:V554 V557 V560 V563 V566 V569 V572 V574 V585:V591 V594:V597 V600 V603 V606:V611 V614:V616 V619 V622 V625 V628 V631 V634 V636 V651:V667 V794:V807 V856:V860 V825:V850">
    <cfRule type="cellIs" dxfId="0" priority="8" stopIfTrue="1" operator="notEqual">
      <formula>""</formula>
    </cfRule>
  </conditionalFormatting>
  <pageMargins left="0.75" right="0.25" top="1.5" bottom="0.5" header="0.75" footer="0.5"/>
  <pageSetup scale="60" fitToWidth="2" fitToHeight="0" pageOrder="overThenDown" orientation="landscape" r:id="rId1"/>
  <headerFooter alignWithMargins="0">
    <oddHeader xml:space="preserve">&amp;C&amp;"Times New Roman,Bold"&amp;12
</oddHeader>
  </headerFooter>
  <rowBreaks count="23" manualBreakCount="23">
    <brk id="61" min="5" max="29" man="1"/>
    <brk id="118" min="5" max="29" man="1"/>
    <brk id="175" min="5" max="29" man="1"/>
    <brk id="232" min="5" max="29" man="1"/>
    <brk id="289" min="5" max="29" man="1"/>
    <brk id="346" min="5" max="29" man="1"/>
    <brk id="403" min="5" max="29" man="1"/>
    <brk id="460" min="5" max="29" man="1"/>
    <brk id="518" min="5" max="29" man="1"/>
    <brk id="580" min="5" max="29" man="1"/>
    <brk id="646" min="5" max="29" man="1"/>
    <brk id="698" min="5" max="29" man="1"/>
    <brk id="785" max="16383" man="1"/>
    <brk id="810" min="5" max="29" man="1"/>
    <brk id="873" min="5" max="29" man="1"/>
    <brk id="910" max="16383" man="1"/>
    <brk id="944" min="5" max="29" man="1"/>
    <brk id="975" min="5" max="29" man="1"/>
    <brk id="1014" min="5" max="29" man="1"/>
    <brk id="1095" min="5" max="17" man="1"/>
    <brk id="1159" min="5" max="17" man="1"/>
    <brk id="1223" min="5" max="29" man="1"/>
    <brk id="1288" min="5" max="29" man="1"/>
  </rowBreaks>
  <colBreaks count="2" manualBreakCount="2">
    <brk id="11" min="3" max="909" man="1"/>
    <brk id="11" min="1047" max="1223" man="1"/>
  </colBreaks>
  <ignoredErrors>
    <ignoredError sqref="I725:M725" evalError="1"/>
    <ignoredError sqref="H725" evalError="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62"/>
  <sheetViews>
    <sheetView zoomScaleNormal="100" zoomScaleSheetLayoutView="110" workbookViewId="0"/>
  </sheetViews>
  <sheetFormatPr defaultRowHeight="15" x14ac:dyDescent="0.25"/>
  <cols>
    <col min="1" max="1" width="48.140625" bestFit="1" customWidth="1"/>
    <col min="3" max="3" width="19" style="237" bestFit="1" customWidth="1"/>
    <col min="4" max="4" width="19.7109375" style="237" customWidth="1"/>
    <col min="5" max="5" width="18" style="237" customWidth="1"/>
    <col min="6" max="6" width="18.85546875" style="238" customWidth="1"/>
    <col min="7" max="7" width="14.140625" customWidth="1"/>
    <col min="8" max="8" width="16.5703125" style="2" customWidth="1"/>
    <col min="10" max="12" width="15.7109375" style="2" customWidth="1"/>
    <col min="13" max="13" width="15.7109375" customWidth="1"/>
  </cols>
  <sheetData>
    <row r="1" spans="1:13" ht="18.75" x14ac:dyDescent="0.3">
      <c r="A1" s="5" t="s">
        <v>1775</v>
      </c>
    </row>
    <row r="2" spans="1:13" x14ac:dyDescent="0.25">
      <c r="A2" s="3" t="s">
        <v>2771</v>
      </c>
      <c r="B2" s="20"/>
      <c r="C2" s="239"/>
      <c r="D2" s="239"/>
      <c r="E2" s="239"/>
      <c r="F2" s="239"/>
      <c r="H2" s="372"/>
      <c r="J2" s="511"/>
      <c r="K2" s="511"/>
      <c r="L2" s="511"/>
      <c r="M2" s="511"/>
    </row>
    <row r="3" spans="1:13" x14ac:dyDescent="0.25">
      <c r="A3" s="241"/>
      <c r="B3" s="240"/>
      <c r="H3" s="238"/>
      <c r="M3" s="238"/>
    </row>
    <row r="4" spans="1:13" x14ac:dyDescent="0.25">
      <c r="A4" s="241"/>
      <c r="B4" s="240"/>
      <c r="D4" s="242" t="s">
        <v>2772</v>
      </c>
      <c r="E4" s="242" t="s">
        <v>2773</v>
      </c>
      <c r="F4" s="243"/>
      <c r="G4" s="244"/>
      <c r="H4" s="238"/>
      <c r="M4" s="238"/>
    </row>
    <row r="5" spans="1:13" ht="15.75" thickBot="1" x14ac:dyDescent="0.3">
      <c r="A5" s="245"/>
      <c r="B5" s="246"/>
      <c r="C5" s="247" t="s">
        <v>551</v>
      </c>
      <c r="D5" s="247" t="s">
        <v>2774</v>
      </c>
      <c r="E5" s="247" t="s">
        <v>2775</v>
      </c>
      <c r="F5" s="248" t="s">
        <v>210</v>
      </c>
      <c r="G5" s="247" t="s">
        <v>2776</v>
      </c>
      <c r="H5" s="238"/>
      <c r="M5" s="238"/>
    </row>
    <row r="6" spans="1:13" x14ac:dyDescent="0.25">
      <c r="A6" s="241"/>
      <c r="B6" s="240"/>
      <c r="H6" s="238"/>
      <c r="M6" s="238"/>
    </row>
    <row r="7" spans="1:13" x14ac:dyDescent="0.25">
      <c r="A7" s="40" t="s">
        <v>2777</v>
      </c>
      <c r="B7" s="240"/>
      <c r="C7" s="249">
        <f>'Allocation ProForma'!G669</f>
        <v>496337782.25838131</v>
      </c>
      <c r="D7" s="249">
        <f>'Allocation ProForma'!G682</f>
        <v>438620356.21121198</v>
      </c>
      <c r="E7" s="249">
        <f>C7-D7</f>
        <v>57717426.047169328</v>
      </c>
      <c r="F7" s="249">
        <f>'Allocation ProForma'!G686</f>
        <v>1548738985.592149</v>
      </c>
      <c r="G7" s="250">
        <f>E7/F7</f>
        <v>3.7267368216408324E-2</v>
      </c>
      <c r="H7" s="238"/>
      <c r="M7" s="238"/>
    </row>
    <row r="8" spans="1:13" x14ac:dyDescent="0.25">
      <c r="A8" s="40" t="s">
        <v>2819</v>
      </c>
      <c r="B8" s="240"/>
      <c r="C8" s="2">
        <f>'Allocation ProForma'!H669</f>
        <v>187257249.5117563</v>
      </c>
      <c r="D8" s="2">
        <f>'Allocation ProForma'!H682</f>
        <v>148958743.3582623</v>
      </c>
      <c r="E8" s="2">
        <f>C8-D8</f>
        <v>38298506.153494</v>
      </c>
      <c r="F8" s="2">
        <f>'Allocation ProForma'!H686</f>
        <v>443688101.28910929</v>
      </c>
      <c r="G8" s="250">
        <f>E8/F8</f>
        <v>8.6318533317030544E-2</v>
      </c>
      <c r="H8" s="238"/>
      <c r="M8" s="238"/>
    </row>
    <row r="9" spans="1:13" x14ac:dyDescent="0.25">
      <c r="A9" s="38" t="s">
        <v>2783</v>
      </c>
      <c r="B9" s="240"/>
      <c r="C9" s="6">
        <f>'Allocation ProForma'!I669</f>
        <v>11468017.144892761</v>
      </c>
      <c r="D9" s="6">
        <f>'Allocation ProForma'!I682</f>
        <v>9693812.9110342525</v>
      </c>
      <c r="E9" s="6">
        <f>C9-D9</f>
        <v>1774204.233858509</v>
      </c>
      <c r="F9" s="6">
        <f>'Allocation ProForma'!I686</f>
        <v>26545088.772189468</v>
      </c>
      <c r="G9" s="251">
        <f>E9/F9</f>
        <v>6.6837381825495798E-2</v>
      </c>
      <c r="H9" s="238"/>
      <c r="M9" s="238"/>
    </row>
    <row r="10" spans="1:13" x14ac:dyDescent="0.25">
      <c r="A10" s="38" t="s">
        <v>2779</v>
      </c>
      <c r="C10" s="2">
        <f>'Allocation ProForma'!J669</f>
        <v>229139908.22646797</v>
      </c>
      <c r="D10" s="2">
        <f>'Allocation ProForma'!J682</f>
        <v>182310158.39716402</v>
      </c>
      <c r="E10" s="6">
        <f>C10-D10</f>
        <v>46829749.82930395</v>
      </c>
      <c r="F10" s="2">
        <f>'Allocation ProForma'!J686</f>
        <v>466728220.29690921</v>
      </c>
      <c r="G10" s="250">
        <f>E10/F10</f>
        <v>0.10033622950742768</v>
      </c>
    </row>
    <row r="11" spans="1:13" x14ac:dyDescent="0.25">
      <c r="A11" s="38" t="s">
        <v>2778</v>
      </c>
      <c r="C11" s="2">
        <f>'Allocation ProForma'!K669</f>
        <v>53103200.451937541</v>
      </c>
      <c r="D11" s="2">
        <f>'Allocation ProForma'!K682</f>
        <v>41562166.675834559</v>
      </c>
      <c r="E11" s="2">
        <f>C11-D11</f>
        <v>11541033.776102982</v>
      </c>
      <c r="F11" s="2">
        <f>'Allocation ProForma'!K686</f>
        <v>103973077.01513284</v>
      </c>
      <c r="G11" s="250">
        <f>E11/F11</f>
        <v>0.11100021378056585</v>
      </c>
    </row>
    <row r="12" spans="1:13" x14ac:dyDescent="0.25">
      <c r="A12" s="38" t="s">
        <v>2820</v>
      </c>
      <c r="C12" s="2">
        <f>'Allocation ProForma'!L669</f>
        <v>26292773.926772475</v>
      </c>
      <c r="D12" s="2">
        <f>'Allocation ProForma'!L682</f>
        <v>24110323.30436134</v>
      </c>
      <c r="E12" s="2">
        <f t="shared" ref="E12:E19" si="0">C12-D12</f>
        <v>2182450.6224111356</v>
      </c>
      <c r="F12" s="2">
        <f>'Allocation ProForma'!L686</f>
        <v>71596666.097154915</v>
      </c>
      <c r="G12" s="250">
        <f t="shared" ref="G12:G20" si="1">E12/F12</f>
        <v>3.0482573300963534E-2</v>
      </c>
    </row>
    <row r="13" spans="1:13" x14ac:dyDescent="0.25">
      <c r="A13" s="38" t="s">
        <v>2818</v>
      </c>
      <c r="B13" s="240"/>
      <c r="C13" s="2">
        <f>'Allocation ProForma'!M669</f>
        <v>210197720.63500616</v>
      </c>
      <c r="D13" s="2">
        <f>'Allocation ProForma'!M682</f>
        <v>184790299.27456602</v>
      </c>
      <c r="E13" s="2">
        <f t="shared" si="0"/>
        <v>25407421.360440135</v>
      </c>
      <c r="F13" s="2">
        <f>'Allocation ProForma'!M686</f>
        <v>504468963.40468323</v>
      </c>
      <c r="G13" s="250">
        <f t="shared" si="1"/>
        <v>5.0364686836161993E-2</v>
      </c>
    </row>
    <row r="14" spans="1:13" x14ac:dyDescent="0.25">
      <c r="A14" s="38" t="s">
        <v>2786</v>
      </c>
      <c r="B14" s="240"/>
      <c r="C14" s="2">
        <f>'Allocation ProForma'!N669</f>
        <v>88952422.410075888</v>
      </c>
      <c r="D14" s="2">
        <f>'Allocation ProForma'!N682</f>
        <v>76379577.876800492</v>
      </c>
      <c r="E14" s="2">
        <f t="shared" si="0"/>
        <v>12572844.533275396</v>
      </c>
      <c r="F14" s="2">
        <f>'Allocation ProForma'!N686</f>
        <v>197373813.70709348</v>
      </c>
      <c r="G14" s="250">
        <f t="shared" si="1"/>
        <v>6.3700671822320559E-2</v>
      </c>
    </row>
    <row r="15" spans="1:13" x14ac:dyDescent="0.25">
      <c r="A15" s="40" t="s">
        <v>2787</v>
      </c>
      <c r="B15" s="240"/>
      <c r="C15" s="2">
        <f>'Allocation ProForma'!O669</f>
        <v>15738896.033731196</v>
      </c>
      <c r="D15" s="2">
        <f>'Allocation ProForma'!O682</f>
        <v>16035121.993293857</v>
      </c>
      <c r="E15" s="2">
        <f t="shared" si="0"/>
        <v>-296225.95956266113</v>
      </c>
      <c r="F15" s="2">
        <f>'Allocation ProForma'!O686</f>
        <v>58364474.805565506</v>
      </c>
      <c r="G15" s="250">
        <f t="shared" si="1"/>
        <v>-5.0754497585989355E-3</v>
      </c>
    </row>
    <row r="16" spans="1:13" x14ac:dyDescent="0.25">
      <c r="A16" s="40" t="s">
        <v>1056</v>
      </c>
      <c r="B16" s="240"/>
      <c r="C16" s="253">
        <f>SUM(C17:C19)</f>
        <v>23588949.101776853</v>
      </c>
      <c r="D16" s="253">
        <f>SUM(D17:D19)</f>
        <v>16867436.051680773</v>
      </c>
      <c r="E16" s="253">
        <f>SUM(E17:E19)</f>
        <v>6721513.0500960825</v>
      </c>
      <c r="F16" s="253">
        <f>SUM(F17:F19)</f>
        <v>79457754.966896638</v>
      </c>
      <c r="G16" s="254">
        <f>E16/F16</f>
        <v>8.4592284955651867E-2</v>
      </c>
    </row>
    <row r="17" spans="1:13" hidden="1" x14ac:dyDescent="0.25">
      <c r="A17" s="40" t="s">
        <v>2788</v>
      </c>
      <c r="B17" s="240"/>
      <c r="C17" s="6">
        <f>'Allocation ProForma'!P669</f>
        <v>23477221.395694751</v>
      </c>
      <c r="D17" s="6">
        <f>'Allocation ProForma'!P682</f>
        <v>16773979.210321018</v>
      </c>
      <c r="E17" s="6">
        <f t="shared" si="0"/>
        <v>6703242.1853737328</v>
      </c>
      <c r="F17" s="6">
        <f>'Allocation ProForma'!P686</f>
        <v>79167563.99216941</v>
      </c>
      <c r="G17" s="251">
        <f t="shared" si="1"/>
        <v>8.4671573146254203E-2</v>
      </c>
    </row>
    <row r="18" spans="1:13" hidden="1" x14ac:dyDescent="0.25">
      <c r="A18" s="38" t="s">
        <v>2789</v>
      </c>
      <c r="B18" s="240"/>
      <c r="C18" s="2">
        <f>'Allocation ProForma'!Q669</f>
        <v>2321.6410632774919</v>
      </c>
      <c r="D18" s="2">
        <f>'Allocation ProForma'!Q682</f>
        <v>2178.9084789475401</v>
      </c>
      <c r="E18" s="6">
        <f t="shared" si="0"/>
        <v>142.73258432995181</v>
      </c>
      <c r="F18" s="2">
        <f>'Allocation ProForma'!Q686</f>
        <v>4998.5494176755246</v>
      </c>
      <c r="G18" s="250">
        <f t="shared" si="1"/>
        <v>2.8554801083936616E-2</v>
      </c>
    </row>
    <row r="19" spans="1:13" hidden="1" x14ac:dyDescent="0.25">
      <c r="A19" s="252" t="s">
        <v>2790</v>
      </c>
      <c r="B19" s="192"/>
      <c r="C19" s="253">
        <f>'Allocation ProForma'!R669</f>
        <v>109406.06501882606</v>
      </c>
      <c r="D19" s="253">
        <f>'Allocation ProForma'!R682</f>
        <v>91277.932880806533</v>
      </c>
      <c r="E19" s="253">
        <f t="shared" si="0"/>
        <v>18128.13213801953</v>
      </c>
      <c r="F19" s="253">
        <f>'Allocation ProForma'!R686</f>
        <v>285192.4253095552</v>
      </c>
      <c r="G19" s="254">
        <f t="shared" si="1"/>
        <v>6.3564563884692199E-2</v>
      </c>
    </row>
    <row r="20" spans="1:13" x14ac:dyDescent="0.25">
      <c r="C20" s="2">
        <f>SUM(C7:C16)</f>
        <v>1342076919.7007985</v>
      </c>
      <c r="D20" s="2">
        <f>SUM(D7:D16)</f>
        <v>1139327996.0542095</v>
      </c>
      <c r="E20" s="2">
        <f>SUM(E7:E16)</f>
        <v>202748923.64658886</v>
      </c>
      <c r="F20" s="2">
        <f>SUM(F7:F16)</f>
        <v>3500935145.9468832</v>
      </c>
      <c r="G20" s="250">
        <f t="shared" si="1"/>
        <v>5.7912790495795438E-2</v>
      </c>
    </row>
    <row r="21" spans="1:13" x14ac:dyDescent="0.25">
      <c r="B21" s="240"/>
      <c r="C21" s="255"/>
      <c r="D21" s="255"/>
      <c r="E21" s="256"/>
      <c r="F21" s="6"/>
      <c r="G21" s="251"/>
    </row>
    <row r="22" spans="1:13" ht="18.75" x14ac:dyDescent="0.3">
      <c r="A22" s="5" t="s">
        <v>1775</v>
      </c>
      <c r="B22" s="240"/>
    </row>
    <row r="23" spans="1:13" x14ac:dyDescent="0.25">
      <c r="A23" s="3" t="s">
        <v>2780</v>
      </c>
    </row>
    <row r="25" spans="1:13" x14ac:dyDescent="0.25">
      <c r="A25" s="241"/>
      <c r="B25" s="240"/>
      <c r="D25" s="242" t="s">
        <v>2772</v>
      </c>
      <c r="E25" s="242" t="s">
        <v>2773</v>
      </c>
      <c r="F25" s="243"/>
      <c r="G25" s="244"/>
      <c r="H25" s="238"/>
      <c r="M25" s="238"/>
    </row>
    <row r="26" spans="1:13" ht="15.75" thickBot="1" x14ac:dyDescent="0.3">
      <c r="A26" s="245"/>
      <c r="B26" s="246"/>
      <c r="C26" s="247" t="s">
        <v>551</v>
      </c>
      <c r="D26" s="247" t="s">
        <v>2774</v>
      </c>
      <c r="E26" s="247" t="s">
        <v>2775</v>
      </c>
      <c r="F26" s="248" t="s">
        <v>210</v>
      </c>
      <c r="G26" s="247" t="s">
        <v>2776</v>
      </c>
      <c r="H26" s="238"/>
      <c r="M26" s="238"/>
    </row>
    <row r="27" spans="1:13" x14ac:dyDescent="0.25">
      <c r="A27" s="241"/>
      <c r="B27" s="240"/>
      <c r="H27" s="238"/>
      <c r="M27" s="238"/>
    </row>
    <row r="28" spans="1:13" x14ac:dyDescent="0.25">
      <c r="A28" s="40" t="s">
        <v>2777</v>
      </c>
      <c r="B28" s="240"/>
      <c r="C28" s="249">
        <f>'Allocation ProForma'!G809</f>
        <v>474279916.49373692</v>
      </c>
      <c r="D28" s="249">
        <f>'Allocation ProForma'!G852</f>
        <v>416227431.02635771</v>
      </c>
      <c r="E28" s="249">
        <f t="shared" ref="E28:E40" si="2">C28-D28</f>
        <v>58052485.467379212</v>
      </c>
      <c r="F28" s="249">
        <f>'Allocation ProForma'!G860</f>
        <v>1472899750.7976735</v>
      </c>
      <c r="G28" s="250">
        <f t="shared" ref="G28:G41" si="3">E28/F28</f>
        <v>3.9413738400009855E-2</v>
      </c>
      <c r="H28" s="238"/>
      <c r="M28" s="238"/>
    </row>
    <row r="29" spans="1:13" x14ac:dyDescent="0.25">
      <c r="A29" s="40" t="s">
        <v>2819</v>
      </c>
      <c r="B29" s="240"/>
      <c r="C29" s="2">
        <f>'Allocation ProForma'!H809</f>
        <v>176800211.31819463</v>
      </c>
      <c r="D29" s="2">
        <f>'Allocation ProForma'!H852</f>
        <v>140557511.73265368</v>
      </c>
      <c r="E29" s="2">
        <f t="shared" si="2"/>
        <v>36242699.58554095</v>
      </c>
      <c r="F29" s="2">
        <f>'Allocation ProForma'!H860</f>
        <v>421150054.99246377</v>
      </c>
      <c r="G29" s="250">
        <f t="shared" si="3"/>
        <v>8.6056499710511714E-2</v>
      </c>
      <c r="H29" s="238"/>
      <c r="M29" s="238"/>
    </row>
    <row r="30" spans="1:13" x14ac:dyDescent="0.25">
      <c r="A30" s="38" t="s">
        <v>2783</v>
      </c>
      <c r="B30" s="240"/>
      <c r="C30" s="6">
        <f>'Allocation ProForma'!I809</f>
        <v>11248698.759338377</v>
      </c>
      <c r="D30" s="6">
        <f>'Allocation ProForma'!I852</f>
        <v>9437318.5148274153</v>
      </c>
      <c r="E30" s="6">
        <f t="shared" si="2"/>
        <v>1811380.2445109617</v>
      </c>
      <c r="F30" s="6">
        <f>'Allocation ProForma'!I860</f>
        <v>25012957.629772507</v>
      </c>
      <c r="G30" s="251">
        <f t="shared" si="3"/>
        <v>7.2417675323405414E-2</v>
      </c>
      <c r="H30" s="238"/>
      <c r="M30" s="238"/>
    </row>
    <row r="31" spans="1:13" x14ac:dyDescent="0.25">
      <c r="A31" s="38" t="s">
        <v>2779</v>
      </c>
      <c r="C31" s="2">
        <f>'Allocation ProForma'!J809</f>
        <v>220793548.12142894</v>
      </c>
      <c r="D31" s="2">
        <f>'Allocation ProForma'!J852</f>
        <v>174764617.9877862</v>
      </c>
      <c r="E31" s="6">
        <f t="shared" si="2"/>
        <v>46028930.133642733</v>
      </c>
      <c r="F31" s="2">
        <f>'Allocation ProForma'!J860</f>
        <v>438086049.42700285</v>
      </c>
      <c r="G31" s="250">
        <f t="shared" si="3"/>
        <v>0.10506823988996349</v>
      </c>
    </row>
    <row r="32" spans="1:13" x14ac:dyDescent="0.25">
      <c r="A32" s="38" t="s">
        <v>2778</v>
      </c>
      <c r="C32" s="2">
        <f>'Allocation ProForma'!K809</f>
        <v>46616189.603230596</v>
      </c>
      <c r="D32" s="2">
        <f>'Allocation ProForma'!K852</f>
        <v>38312403.257551461</v>
      </c>
      <c r="E32" s="2">
        <f t="shared" si="2"/>
        <v>8303786.3456791341</v>
      </c>
      <c r="F32" s="2">
        <f>'Allocation ProForma'!K860</f>
        <v>97416904.009549558</v>
      </c>
      <c r="G32" s="250">
        <f t="shared" si="3"/>
        <v>8.5239686377891186E-2</v>
      </c>
    </row>
    <row r="33" spans="1:13" x14ac:dyDescent="0.25">
      <c r="A33" s="38" t="s">
        <v>2820</v>
      </c>
      <c r="C33" s="2">
        <f>'Allocation ProForma'!L809</f>
        <v>28338730.683599625</v>
      </c>
      <c r="D33" s="2">
        <f>'Allocation ProForma'!L852</f>
        <v>24428201.495093353</v>
      </c>
      <c r="E33" s="2">
        <f t="shared" si="2"/>
        <v>3910529.1885062717</v>
      </c>
      <c r="F33" s="2">
        <f>'Allocation ProForma'!L860</f>
        <v>67123253.95440878</v>
      </c>
      <c r="G33" s="250">
        <f t="shared" si="3"/>
        <v>5.8258933501083958E-2</v>
      </c>
    </row>
    <row r="34" spans="1:13" x14ac:dyDescent="0.25">
      <c r="A34" s="38" t="s">
        <v>2818</v>
      </c>
      <c r="B34" s="240"/>
      <c r="C34" s="2">
        <f>'Allocation ProForma'!M809</f>
        <v>207597875.87979716</v>
      </c>
      <c r="D34" s="2">
        <f>'Allocation ProForma'!M852</f>
        <v>179775173.24295929</v>
      </c>
      <c r="E34" s="2">
        <f t="shared" si="2"/>
        <v>27822702.63683787</v>
      </c>
      <c r="F34" s="2">
        <f>'Allocation ProForma'!M860</f>
        <v>472205604.45946503</v>
      </c>
      <c r="G34" s="250">
        <f t="shared" si="3"/>
        <v>5.8920737860971788E-2</v>
      </c>
    </row>
    <row r="35" spans="1:13" x14ac:dyDescent="0.25">
      <c r="A35" s="38" t="s">
        <v>2786</v>
      </c>
      <c r="B35" s="240"/>
      <c r="C35" s="2">
        <f>'Allocation ProForma'!N809</f>
        <v>84511459.366422608</v>
      </c>
      <c r="D35" s="2">
        <f>'Allocation ProForma'!N852</f>
        <v>73383184.766783997</v>
      </c>
      <c r="E35" s="2">
        <f t="shared" si="2"/>
        <v>11128274.599638611</v>
      </c>
      <c r="F35" s="2">
        <f>'Allocation ProForma'!N860</f>
        <v>183744053.50925425</v>
      </c>
      <c r="G35" s="250">
        <f t="shared" si="3"/>
        <v>6.0563998600793562E-2</v>
      </c>
    </row>
    <row r="36" spans="1:13" x14ac:dyDescent="0.25">
      <c r="A36" s="40" t="s">
        <v>2787</v>
      </c>
      <c r="B36" s="240"/>
      <c r="C36" s="2">
        <f>'Allocation ProForma'!O809</f>
        <v>14193700.252334129</v>
      </c>
      <c r="D36" s="2">
        <f>'Allocation ProForma'!O852</f>
        <v>15056452.735714616</v>
      </c>
      <c r="E36" s="2">
        <f t="shared" si="2"/>
        <v>-862752.48338048719</v>
      </c>
      <c r="F36" s="2">
        <f>'Allocation ProForma'!O860</f>
        <v>54328625.752492771</v>
      </c>
      <c r="G36" s="250">
        <f t="shared" si="3"/>
        <v>-1.5880255968758816E-2</v>
      </c>
    </row>
    <row r="37" spans="1:13" x14ac:dyDescent="0.25">
      <c r="A37" s="40" t="s">
        <v>1056</v>
      </c>
      <c r="B37" s="240"/>
      <c r="C37" s="253">
        <f>SUM(C38:C40)</f>
        <v>23316205.416437011</v>
      </c>
      <c r="D37" s="253">
        <f>SUM(D38:D40)</f>
        <v>16561750.434306411</v>
      </c>
      <c r="E37" s="253">
        <f>SUM(E38:E40)</f>
        <v>6754454.9821305992</v>
      </c>
      <c r="F37" s="253">
        <f>SUM(F38:F40)</f>
        <v>78878015.414800599</v>
      </c>
      <c r="G37" s="254">
        <f>E37/F37</f>
        <v>8.5631654734345655E-2</v>
      </c>
    </row>
    <row r="38" spans="1:13" hidden="1" x14ac:dyDescent="0.25">
      <c r="A38" s="40" t="s">
        <v>2788</v>
      </c>
      <c r="B38" s="240"/>
      <c r="C38" s="2">
        <f>'Allocation ProForma'!P809</f>
        <v>23195276.931937154</v>
      </c>
      <c r="D38" s="2">
        <f>'Allocation ProForma'!P852</f>
        <v>16462448.257908775</v>
      </c>
      <c r="E38" s="2">
        <f t="shared" si="2"/>
        <v>6732828.6740283798</v>
      </c>
      <c r="F38" s="2">
        <f>'Allocation ProForma'!P860</f>
        <v>78597518.941739842</v>
      </c>
      <c r="G38" s="250">
        <f t="shared" si="3"/>
        <v>8.5662101866333301E-2</v>
      </c>
    </row>
    <row r="39" spans="1:13" hidden="1" x14ac:dyDescent="0.25">
      <c r="A39" s="38" t="s">
        <v>2789</v>
      </c>
      <c r="B39" s="240"/>
      <c r="C39" s="6">
        <f>'Allocation ProForma'!Q809</f>
        <v>2284.581972753982</v>
      </c>
      <c r="D39" s="6">
        <f>'Allocation ProForma'!Q852</f>
        <v>2132.5075898625742</v>
      </c>
      <c r="E39" s="6">
        <f t="shared" si="2"/>
        <v>152.07438289140782</v>
      </c>
      <c r="F39" s="6">
        <f>'Allocation ProForma'!Q860</f>
        <v>4843.7529165140977</v>
      </c>
      <c r="G39" s="251">
        <f t="shared" si="3"/>
        <v>3.1395982725074913E-2</v>
      </c>
    </row>
    <row r="40" spans="1:13" hidden="1" x14ac:dyDescent="0.25">
      <c r="A40" s="252" t="s">
        <v>2790</v>
      </c>
      <c r="B40" s="258"/>
      <c r="C40" s="253">
        <f>'Allocation ProForma'!R809</f>
        <v>118643.90252710316</v>
      </c>
      <c r="D40" s="253">
        <f>'Allocation ProForma'!R852</f>
        <v>97169.668807775073</v>
      </c>
      <c r="E40" s="253">
        <f t="shared" si="2"/>
        <v>21474.233719328084</v>
      </c>
      <c r="F40" s="253">
        <f>'Allocation ProForma'!R860</f>
        <v>275652.7201442463</v>
      </c>
      <c r="G40" s="254">
        <f t="shared" si="3"/>
        <v>7.7903217164303082E-2</v>
      </c>
    </row>
    <row r="41" spans="1:13" x14ac:dyDescent="0.25">
      <c r="C41" s="2">
        <f>SUM(C28:C37)</f>
        <v>1287696535.89452</v>
      </c>
      <c r="D41" s="2">
        <f>SUM(D28:D37)</f>
        <v>1088504045.1940341</v>
      </c>
      <c r="E41" s="2">
        <f>SUM(E28:E37)</f>
        <v>199192490.70048583</v>
      </c>
      <c r="F41" s="2">
        <f>SUM(F28:F37)</f>
        <v>3310845269.9468837</v>
      </c>
      <c r="G41" s="250">
        <f t="shared" si="3"/>
        <v>6.0163636310216782E-2</v>
      </c>
    </row>
    <row r="43" spans="1:13" ht="18.75" x14ac:dyDescent="0.3">
      <c r="A43" s="5" t="s">
        <v>1775</v>
      </c>
      <c r="B43" s="240"/>
    </row>
    <row r="44" spans="1:13" x14ac:dyDescent="0.25">
      <c r="A44" s="3" t="s">
        <v>2781</v>
      </c>
    </row>
    <row r="45" spans="1:13" x14ac:dyDescent="0.25">
      <c r="A45" t="s">
        <v>2806</v>
      </c>
    </row>
    <row r="46" spans="1:13" x14ac:dyDescent="0.25">
      <c r="A46" s="241"/>
      <c r="B46" s="240"/>
      <c r="D46" s="242" t="s">
        <v>2772</v>
      </c>
      <c r="E46" s="242" t="s">
        <v>2773</v>
      </c>
      <c r="F46" s="243"/>
      <c r="G46" s="244"/>
      <c r="H46" s="238"/>
      <c r="M46" s="238"/>
    </row>
    <row r="47" spans="1:13" ht="15.75" thickBot="1" x14ac:dyDescent="0.3">
      <c r="A47" s="245"/>
      <c r="B47" s="246"/>
      <c r="C47" s="247" t="s">
        <v>551</v>
      </c>
      <c r="D47" s="247" t="s">
        <v>2774</v>
      </c>
      <c r="E47" s="247" t="s">
        <v>2775</v>
      </c>
      <c r="F47" s="248" t="s">
        <v>210</v>
      </c>
      <c r="G47" s="247" t="s">
        <v>2776</v>
      </c>
      <c r="H47" s="238"/>
      <c r="M47" s="238"/>
    </row>
    <row r="48" spans="1:13" x14ac:dyDescent="0.25">
      <c r="A48" s="241"/>
      <c r="B48" s="240"/>
      <c r="H48" s="238"/>
      <c r="M48" s="238"/>
    </row>
    <row r="49" spans="1:13" x14ac:dyDescent="0.25">
      <c r="A49" s="40" t="s">
        <v>2777</v>
      </c>
      <c r="B49" s="240"/>
      <c r="C49" s="249">
        <f>'Allocation ProForma'!G1075</f>
        <v>512504655.62455612</v>
      </c>
      <c r="D49" s="249">
        <f>'Allocation ProForma'!G1086</f>
        <v>430273990.58897722</v>
      </c>
      <c r="E49" s="249">
        <f t="shared" ref="E49:E61" si="4">C49-D49</f>
        <v>82230665.035578907</v>
      </c>
      <c r="F49" s="249">
        <f>'Allocation ProForma'!G1090</f>
        <v>1472899750.7976735</v>
      </c>
      <c r="G49" s="250">
        <f t="shared" ref="G49:G62" si="5">E49/F49</f>
        <v>5.5829098342263628E-2</v>
      </c>
      <c r="H49" s="238"/>
      <c r="M49" s="238"/>
    </row>
    <row r="50" spans="1:13" x14ac:dyDescent="0.25">
      <c r="A50" s="40" t="s">
        <v>2782</v>
      </c>
      <c r="B50" s="240"/>
      <c r="C50" s="2">
        <f>'Allocation ProForma'!H1075</f>
        <v>185891384.33025107</v>
      </c>
      <c r="D50" s="2">
        <f>'Allocation ProForma'!H1086</f>
        <v>143898272.35291311</v>
      </c>
      <c r="E50" s="2">
        <f t="shared" si="4"/>
        <v>41993111.977337956</v>
      </c>
      <c r="F50" s="2">
        <f>'Allocation ProForma'!H1090</f>
        <v>421150054.99246377</v>
      </c>
      <c r="G50" s="250">
        <f t="shared" si="5"/>
        <v>9.9710569853990405E-2</v>
      </c>
      <c r="H50" s="238"/>
      <c r="M50" s="238"/>
    </row>
    <row r="51" spans="1:13" x14ac:dyDescent="0.25">
      <c r="A51" s="38" t="s">
        <v>2783</v>
      </c>
      <c r="B51" s="240"/>
      <c r="C51" s="6">
        <f>'Allocation ProForma'!I1075</f>
        <v>11884536.118461726</v>
      </c>
      <c r="D51" s="6">
        <f>'Allocation ProForma'!I1086</f>
        <v>9670971.5766965523</v>
      </c>
      <c r="E51" s="6">
        <f t="shared" si="4"/>
        <v>2213564.5417651739</v>
      </c>
      <c r="F51" s="6">
        <f>'Allocation ProForma'!I1090</f>
        <v>25012957.629772507</v>
      </c>
      <c r="G51" s="251">
        <f t="shared" si="5"/>
        <v>8.849671336469242E-2</v>
      </c>
      <c r="H51" s="238"/>
      <c r="M51" s="238"/>
    </row>
    <row r="52" spans="1:13" x14ac:dyDescent="0.25">
      <c r="A52" s="38" t="s">
        <v>2779</v>
      </c>
      <c r="C52" s="2">
        <f>'Allocation ProForma'!J1075</f>
        <v>225176595.5860641</v>
      </c>
      <c r="D52" s="2">
        <f>'Allocation ProForma'!J1086</f>
        <v>176375269.58875811</v>
      </c>
      <c r="E52" s="6">
        <f t="shared" si="4"/>
        <v>48801325.997305989</v>
      </c>
      <c r="F52" s="2">
        <f>'Allocation ProForma'!J1090</f>
        <v>438086049.42700285</v>
      </c>
      <c r="G52" s="250">
        <f t="shared" si="5"/>
        <v>0.11139666752944076</v>
      </c>
    </row>
    <row r="53" spans="1:13" x14ac:dyDescent="0.25">
      <c r="A53" s="38" t="s">
        <v>2778</v>
      </c>
      <c r="C53" s="2">
        <f>'Allocation ProForma'!K1075</f>
        <v>49188664.190345496</v>
      </c>
      <c r="D53" s="2">
        <f>'Allocation ProForma'!K1086</f>
        <v>39257718.211502329</v>
      </c>
      <c r="E53" s="2">
        <f t="shared" si="4"/>
        <v>9930945.9788431674</v>
      </c>
      <c r="F53" s="2">
        <f>'Allocation ProForma'!K1090</f>
        <v>97416904.009549558</v>
      </c>
      <c r="G53" s="250">
        <f t="shared" si="5"/>
        <v>0.1019427385812801</v>
      </c>
    </row>
    <row r="54" spans="1:13" x14ac:dyDescent="0.25">
      <c r="A54" s="38" t="s">
        <v>2784</v>
      </c>
      <c r="C54" s="2">
        <f>'Allocation ProForma'!L1075</f>
        <v>30247390.591877822</v>
      </c>
      <c r="D54" s="2">
        <f>'Allocation ProForma'!L1086</f>
        <v>25129582.477568071</v>
      </c>
      <c r="E54" s="2">
        <f t="shared" si="4"/>
        <v>5117808.1143097505</v>
      </c>
      <c r="F54" s="2">
        <f>'Allocation ProForma'!L1090</f>
        <v>67123253.95440878</v>
      </c>
      <c r="G54" s="250">
        <f t="shared" si="5"/>
        <v>7.6244934695595207E-2</v>
      </c>
    </row>
    <row r="55" spans="1:13" x14ac:dyDescent="0.25">
      <c r="A55" s="38" t="s">
        <v>2785</v>
      </c>
      <c r="B55" s="240"/>
      <c r="C55" s="2">
        <f>'Allocation ProForma'!M1075</f>
        <v>220162076.29130116</v>
      </c>
      <c r="D55" s="2">
        <f>'Allocation ProForma'!M1086</f>
        <v>184392177.66077581</v>
      </c>
      <c r="E55" s="2">
        <f t="shared" si="4"/>
        <v>35769898.630525351</v>
      </c>
      <c r="F55" s="2">
        <f>'Allocation ProForma'!M1090</f>
        <v>472205604.45946503</v>
      </c>
      <c r="G55" s="250">
        <f t="shared" si="5"/>
        <v>7.575068633814977E-2</v>
      </c>
    </row>
    <row r="56" spans="1:13" x14ac:dyDescent="0.25">
      <c r="A56" s="38" t="s">
        <v>2786</v>
      </c>
      <c r="B56" s="240"/>
      <c r="C56" s="257">
        <f>'Allocation ProForma'!N1075</f>
        <v>89639857.18759571</v>
      </c>
      <c r="D56" s="2">
        <f>'Allocation ProForma'!N1086</f>
        <v>75267732.499323949</v>
      </c>
      <c r="E56" s="2">
        <f t="shared" si="4"/>
        <v>14372124.688271761</v>
      </c>
      <c r="F56" s="2">
        <f>'Allocation ProForma'!N1090</f>
        <v>183744053.50925425</v>
      </c>
      <c r="G56" s="250">
        <f t="shared" si="5"/>
        <v>7.8218175847241292E-2</v>
      </c>
    </row>
    <row r="57" spans="1:13" x14ac:dyDescent="0.25">
      <c r="A57" s="40" t="s">
        <v>2787</v>
      </c>
      <c r="B57" s="240"/>
      <c r="C57" s="2">
        <f>'Allocation ProForma'!O1075</f>
        <v>20826650.366437733</v>
      </c>
      <c r="D57" s="2">
        <f>'Allocation ProForma'!O1086</f>
        <v>17493882.812994607</v>
      </c>
      <c r="E57" s="2">
        <f t="shared" si="4"/>
        <v>3332767.5534431264</v>
      </c>
      <c r="F57" s="2">
        <f>'Allocation ProForma'!O1090</f>
        <v>54328625.752492771</v>
      </c>
      <c r="G57" s="250">
        <f t="shared" si="5"/>
        <v>6.1344595179461323E-2</v>
      </c>
    </row>
    <row r="58" spans="1:13" x14ac:dyDescent="0.25">
      <c r="A58" s="40" t="s">
        <v>1056</v>
      </c>
      <c r="B58" s="240"/>
      <c r="C58" s="253">
        <f>SUM(C59:C61)</f>
        <v>24607617.356113423</v>
      </c>
      <c r="D58" s="253">
        <f>SUM(D59:D61)</f>
        <v>17036309.454015121</v>
      </c>
      <c r="E58" s="253">
        <f>SUM(E59:E61)</f>
        <v>7571307.902098299</v>
      </c>
      <c r="F58" s="253">
        <f>SUM(F59:F61)</f>
        <v>78878015.414800599</v>
      </c>
      <c r="G58" s="254">
        <f t="shared" si="5"/>
        <v>9.5987555750263284E-2</v>
      </c>
    </row>
    <row r="59" spans="1:13" hidden="1" x14ac:dyDescent="0.25">
      <c r="A59" s="40" t="s">
        <v>2788</v>
      </c>
      <c r="B59" s="240"/>
      <c r="C59" s="2">
        <f>'Allocation ProForma'!P1075</f>
        <v>24480176.804475904</v>
      </c>
      <c r="D59" s="2">
        <f>'Allocation ProForma'!P1086</f>
        <v>16934614.268770207</v>
      </c>
      <c r="E59" s="2">
        <f t="shared" si="4"/>
        <v>7545562.5357056968</v>
      </c>
      <c r="F59" s="2">
        <f>'Allocation ProForma'!P1090</f>
        <v>78597518.941739842</v>
      </c>
      <c r="G59" s="250">
        <f t="shared" si="5"/>
        <v>9.6002553735809654E-2</v>
      </c>
    </row>
    <row r="60" spans="1:13" hidden="1" x14ac:dyDescent="0.25">
      <c r="A60" s="38" t="s">
        <v>2789</v>
      </c>
      <c r="B60" s="240"/>
      <c r="C60" s="6">
        <f>'Allocation ProForma'!Q1075</f>
        <v>2408.581972753982</v>
      </c>
      <c r="D60" s="6">
        <f>'Allocation ProForma'!Q1086</f>
        <v>2178.0742418625737</v>
      </c>
      <c r="E60" s="6">
        <f t="shared" si="4"/>
        <v>230.5077308914083</v>
      </c>
      <c r="F60" s="6">
        <f>'Allocation ProForma'!Q1090</f>
        <v>4843.7529165140977</v>
      </c>
      <c r="G60" s="251">
        <f t="shared" si="5"/>
        <v>4.7588664175153207E-2</v>
      </c>
    </row>
    <row r="61" spans="1:13" hidden="1" x14ac:dyDescent="0.25">
      <c r="A61" s="252" t="s">
        <v>2790</v>
      </c>
      <c r="B61" s="258"/>
      <c r="C61" s="253">
        <f>'Allocation ProForma'!R1075</f>
        <v>125031.96966476431</v>
      </c>
      <c r="D61" s="253">
        <f>'Allocation ProForma'!R1086</f>
        <v>99517.111003052807</v>
      </c>
      <c r="E61" s="253">
        <f t="shared" si="4"/>
        <v>25514.858661711507</v>
      </c>
      <c r="F61" s="253">
        <f>'Allocation ProForma'!R1090</f>
        <v>275652.7201442463</v>
      </c>
      <c r="G61" s="254">
        <f t="shared" si="5"/>
        <v>9.2561606677996275E-2</v>
      </c>
    </row>
    <row r="62" spans="1:13" x14ac:dyDescent="0.25">
      <c r="C62" s="2">
        <f>SUM(C49:C58)</f>
        <v>1370129427.6430042</v>
      </c>
      <c r="D62" s="2">
        <f>SUM(D49:D58)</f>
        <v>1118795907.2235248</v>
      </c>
      <c r="E62" s="2">
        <f>SUM(E49:E58)</f>
        <v>251333520.41947946</v>
      </c>
      <c r="F62" s="2">
        <f>SUM(F49:F58)</f>
        <v>3310845269.9468837</v>
      </c>
      <c r="G62" s="250">
        <f t="shared" si="5"/>
        <v>7.5912191578651339E-2</v>
      </c>
    </row>
  </sheetData>
  <mergeCells count="1">
    <mergeCell ref="J2:M2"/>
  </mergeCells>
  <pageMargins left="0.7" right="0.7" top="0.75" bottom="0.75" header="0.3" footer="0.3"/>
  <pageSetup scale="63" orientation="landscape" r:id="rId1"/>
  <rowBreaks count="1" manualBreakCount="1">
    <brk id="41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59"/>
  <sheetViews>
    <sheetView view="pageBreakPreview" zoomScale="60" zoomScaleNormal="90" workbookViewId="0">
      <selection activeCell="D18" sqref="D18"/>
    </sheetView>
  </sheetViews>
  <sheetFormatPr defaultRowHeight="15" x14ac:dyDescent="0.25"/>
  <cols>
    <col min="1" max="1" width="4.5703125" customWidth="1"/>
    <col min="2" max="2" width="45.42578125" bestFit="1" customWidth="1"/>
    <col min="3" max="3" width="18" customWidth="1"/>
    <col min="4" max="4" width="23.7109375" customWidth="1"/>
    <col min="5" max="5" width="24.85546875" bestFit="1" customWidth="1"/>
    <col min="6" max="6" width="20.5703125" bestFit="1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 x14ac:dyDescent="0.25">
      <c r="A1" s="514" t="s">
        <v>1775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</row>
    <row r="2" spans="1:14" ht="15.75" x14ac:dyDescent="0.25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</row>
    <row r="3" spans="1:14" ht="15.75" x14ac:dyDescent="0.25">
      <c r="A3" s="514" t="s">
        <v>2316</v>
      </c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</row>
    <row r="4" spans="1:14" ht="15.75" x14ac:dyDescent="0.25">
      <c r="A4" s="514" t="s">
        <v>2770</v>
      </c>
      <c r="B4" s="514"/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</row>
    <row r="5" spans="1:14" ht="15.75" x14ac:dyDescent="0.25">
      <c r="A5" s="262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</row>
    <row r="6" spans="1:14" ht="15.75" x14ac:dyDescent="0.25">
      <c r="A6" s="514" t="s">
        <v>2201</v>
      </c>
      <c r="B6" s="514"/>
      <c r="C6" s="514"/>
      <c r="D6" s="514"/>
      <c r="E6" s="514"/>
      <c r="F6" s="514"/>
      <c r="G6" s="514"/>
      <c r="H6" s="514"/>
      <c r="I6" s="514"/>
      <c r="J6" s="514"/>
      <c r="K6" s="514"/>
      <c r="L6" s="514"/>
      <c r="M6" s="514"/>
      <c r="N6" s="514"/>
    </row>
    <row r="7" spans="1:14" ht="15.75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6.5" thickBot="1" x14ac:dyDescent="0.3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ht="16.5" thickBot="1" x14ac:dyDescent="0.3">
      <c r="A9" s="315"/>
      <c r="B9" s="316"/>
      <c r="C9" s="317"/>
      <c r="D9" s="315"/>
      <c r="E9" s="512" t="s">
        <v>2312</v>
      </c>
      <c r="F9" s="513"/>
      <c r="G9" s="318" t="s">
        <v>552</v>
      </c>
      <c r="H9" s="512" t="s">
        <v>132</v>
      </c>
      <c r="I9" s="513"/>
      <c r="J9" s="318" t="s">
        <v>2317</v>
      </c>
      <c r="K9" s="317"/>
      <c r="L9" s="319"/>
      <c r="M9" s="21"/>
      <c r="N9" s="21"/>
    </row>
    <row r="10" spans="1:14" ht="15.75" x14ac:dyDescent="0.25">
      <c r="A10" s="320"/>
      <c r="B10" s="321"/>
      <c r="C10" s="322"/>
      <c r="D10" s="322"/>
      <c r="E10" s="317"/>
      <c r="F10" s="317"/>
      <c r="G10" s="317"/>
      <c r="H10" s="317"/>
      <c r="I10" s="317"/>
      <c r="J10" s="317"/>
      <c r="K10" s="322"/>
      <c r="L10" s="323"/>
      <c r="M10" s="21"/>
      <c r="N10" s="21"/>
    </row>
    <row r="11" spans="1:14" ht="15.75" x14ac:dyDescent="0.25">
      <c r="A11" s="320"/>
      <c r="B11" s="321"/>
      <c r="C11" s="322"/>
      <c r="D11" s="322"/>
      <c r="E11" s="322"/>
      <c r="F11" s="322"/>
      <c r="G11" s="322"/>
      <c r="H11" s="322"/>
      <c r="I11" s="322"/>
      <c r="J11" s="322"/>
      <c r="K11" s="322"/>
      <c r="L11" s="323"/>
      <c r="M11" s="21"/>
      <c r="N11" s="21"/>
    </row>
    <row r="12" spans="1:14" ht="16.5" thickBot="1" x14ac:dyDescent="0.3">
      <c r="A12" s="324"/>
      <c r="B12" s="325" t="s">
        <v>119</v>
      </c>
      <c r="C12" s="326" t="s">
        <v>1424</v>
      </c>
      <c r="D12" s="326" t="s">
        <v>2318</v>
      </c>
      <c r="E12" s="326" t="s">
        <v>2313</v>
      </c>
      <c r="F12" s="326" t="s">
        <v>2314</v>
      </c>
      <c r="G12" s="326" t="s">
        <v>2313</v>
      </c>
      <c r="H12" s="326" t="s">
        <v>2313</v>
      </c>
      <c r="I12" s="326" t="s">
        <v>2315</v>
      </c>
      <c r="J12" s="326" t="s">
        <v>2315</v>
      </c>
      <c r="K12" s="327" t="s">
        <v>82</v>
      </c>
      <c r="L12" s="327" t="s">
        <v>2335</v>
      </c>
      <c r="M12" s="21"/>
      <c r="N12" s="21"/>
    </row>
    <row r="13" spans="1:14" ht="15.75" x14ac:dyDescent="0.25">
      <c r="A13" s="328"/>
      <c r="B13" s="329"/>
      <c r="C13" s="330"/>
      <c r="D13" s="331"/>
      <c r="E13" s="328"/>
      <c r="F13" s="332"/>
      <c r="G13" s="332"/>
      <c r="H13" s="332"/>
      <c r="I13" s="332"/>
      <c r="J13" s="332"/>
      <c r="K13" s="319"/>
      <c r="L13" s="323"/>
      <c r="M13" s="21"/>
      <c r="N13" s="21"/>
    </row>
    <row r="14" spans="1:14" ht="15.75" x14ac:dyDescent="0.25">
      <c r="A14" s="333" t="s">
        <v>1425</v>
      </c>
      <c r="B14" s="334" t="s">
        <v>210</v>
      </c>
      <c r="C14" s="335"/>
      <c r="D14" s="336">
        <f>'Allocation ProForma'!G174</f>
        <v>1548738985.592149</v>
      </c>
      <c r="E14" s="337">
        <f>'Allocation ProForma'!G123+'Allocation ProForma'!G124+'Allocation ProForma'!G125</f>
        <v>914490028.94096088</v>
      </c>
      <c r="F14" s="338">
        <f>'Allocation ProForma'!G126</f>
        <v>22130120.36579784</v>
      </c>
      <c r="G14" s="338">
        <f>'Allocation ProForma'!G135</f>
        <v>121147430.44447467</v>
      </c>
      <c r="H14" s="338">
        <f>'Allocation ProForma'!G145+'Allocation ProForma'!G147+'Allocation ProForma'!G152+'Allocation ProForma'!G141</f>
        <v>181337902.85157311</v>
      </c>
      <c r="I14" s="338">
        <f>'Allocation ProForma'!G146+'Allocation ProForma'!G148+'Allocation ProForma'!G153+'Allocation ProForma'!G157+'Allocation ProForma'!G160+'Allocation ProForma'!G163</f>
        <v>305318005.91483301</v>
      </c>
      <c r="J14" s="338">
        <f>'Allocation ProForma'!G166+'Allocation ProForma'!G169</f>
        <v>4315497.0745096114</v>
      </c>
      <c r="K14" s="339">
        <f>SUM(E14:J14)</f>
        <v>1548738985.5921493</v>
      </c>
      <c r="L14" s="340" t="str">
        <f>IF(ABS(K14-D14)&lt;0.01,"ok","err")</f>
        <v>ok</v>
      </c>
      <c r="M14" s="21"/>
      <c r="N14" s="21"/>
    </row>
    <row r="15" spans="1:14" ht="15.75" x14ac:dyDescent="0.25">
      <c r="A15" s="333" t="s">
        <v>1663</v>
      </c>
      <c r="B15" s="334" t="s">
        <v>2293</v>
      </c>
      <c r="C15" s="335"/>
      <c r="D15" s="336">
        <f>'Allocation ProForma'!G857+'Allocation ProForma'!G858+'Allocation ProForma'!G859</f>
        <v>-75839234.794475555</v>
      </c>
      <c r="E15" s="341">
        <f t="shared" ref="E15:J15" si="0">(E14/$D$14)*$D$15</f>
        <v>-44781092.661358424</v>
      </c>
      <c r="F15" s="342">
        <f t="shared" si="0"/>
        <v>-1083676.0810344359</v>
      </c>
      <c r="G15" s="342">
        <f t="shared" si="0"/>
        <v>-5932393.0679726833</v>
      </c>
      <c r="H15" s="342">
        <f t="shared" si="0"/>
        <v>-8879822.8232371081</v>
      </c>
      <c r="I15" s="342">
        <f t="shared" si="0"/>
        <v>-14950927.2724241</v>
      </c>
      <c r="J15" s="342">
        <f t="shared" si="0"/>
        <v>-211322.88844880607</v>
      </c>
      <c r="K15" s="339">
        <f>SUM(E15:J15)</f>
        <v>-75839234.794475555</v>
      </c>
      <c r="L15" s="340" t="str">
        <f>IF(ABS(K15-D15)&lt;0.01,"ok","err")</f>
        <v>ok</v>
      </c>
      <c r="M15" s="21"/>
      <c r="N15" s="21"/>
    </row>
    <row r="16" spans="1:14" ht="15.75" x14ac:dyDescent="0.25">
      <c r="A16" s="333" t="s">
        <v>2294</v>
      </c>
      <c r="B16" s="334" t="s">
        <v>2295</v>
      </c>
      <c r="C16" s="335"/>
      <c r="D16" s="343">
        <f>D14+D15</f>
        <v>1472899750.7976735</v>
      </c>
      <c r="E16" s="343">
        <f t="shared" ref="E16:K16" si="1">E14+E15</f>
        <v>869708936.27960241</v>
      </c>
      <c r="F16" s="344">
        <f t="shared" si="1"/>
        <v>21046444.284763403</v>
      </c>
      <c r="G16" s="344">
        <f t="shared" si="1"/>
        <v>115215037.37650198</v>
      </c>
      <c r="H16" s="344">
        <f t="shared" si="1"/>
        <v>172458080.02833599</v>
      </c>
      <c r="I16" s="344">
        <f t="shared" si="1"/>
        <v>290367078.64240891</v>
      </c>
      <c r="J16" s="344">
        <f t="shared" si="1"/>
        <v>4104174.1860608053</v>
      </c>
      <c r="K16" s="339">
        <f t="shared" si="1"/>
        <v>1472899750.7976737</v>
      </c>
      <c r="L16" s="340" t="str">
        <f>IF(ABS(K16-D16)&lt;0.01,"ok","err")</f>
        <v>ok</v>
      </c>
      <c r="M16" s="21"/>
      <c r="N16" s="21"/>
    </row>
    <row r="17" spans="1:14" ht="15.75" x14ac:dyDescent="0.25">
      <c r="A17" s="333"/>
      <c r="B17" s="334"/>
      <c r="C17" s="335"/>
      <c r="D17" s="345"/>
      <c r="E17" s="346"/>
      <c r="F17" s="260"/>
      <c r="G17" s="260"/>
      <c r="H17" s="260"/>
      <c r="I17" s="260"/>
      <c r="J17" s="260"/>
      <c r="K17" s="339"/>
      <c r="L17" s="347"/>
      <c r="M17" s="21"/>
      <c r="N17" s="21"/>
    </row>
    <row r="18" spans="1:14" ht="15.75" x14ac:dyDescent="0.25">
      <c r="A18" s="333" t="s">
        <v>2296</v>
      </c>
      <c r="B18" s="334" t="s">
        <v>534</v>
      </c>
      <c r="C18" s="335"/>
      <c r="D18" s="348">
        <f>'Allocation ProForma'!G1092</f>
        <v>5.5829098342263628E-2</v>
      </c>
      <c r="E18" s="348">
        <f t="shared" ref="E18:J18" si="2">D18</f>
        <v>5.5829098342263628E-2</v>
      </c>
      <c r="F18" s="349">
        <f t="shared" si="2"/>
        <v>5.5829098342263628E-2</v>
      </c>
      <c r="G18" s="349">
        <f t="shared" si="2"/>
        <v>5.5829098342263628E-2</v>
      </c>
      <c r="H18" s="349">
        <f t="shared" si="2"/>
        <v>5.5829098342263628E-2</v>
      </c>
      <c r="I18" s="349">
        <f t="shared" si="2"/>
        <v>5.5829098342263628E-2</v>
      </c>
      <c r="J18" s="349">
        <f t="shared" si="2"/>
        <v>5.5829098342263628E-2</v>
      </c>
      <c r="K18" s="339"/>
      <c r="L18" s="340"/>
      <c r="M18" s="21"/>
      <c r="N18" s="21"/>
    </row>
    <row r="19" spans="1:14" ht="15.75" x14ac:dyDescent="0.25">
      <c r="A19" s="346"/>
      <c r="B19" s="334"/>
      <c r="C19" s="335"/>
      <c r="D19" s="345"/>
      <c r="E19" s="346"/>
      <c r="F19" s="260"/>
      <c r="G19" s="260"/>
      <c r="H19" s="260"/>
      <c r="I19" s="260"/>
      <c r="J19" s="260"/>
      <c r="K19" s="339"/>
      <c r="L19" s="347"/>
      <c r="M19" s="21"/>
      <c r="N19" s="21"/>
    </row>
    <row r="20" spans="1:14" ht="15.75" x14ac:dyDescent="0.25">
      <c r="A20" s="333" t="s">
        <v>2297</v>
      </c>
      <c r="B20" s="334" t="s">
        <v>2298</v>
      </c>
      <c r="C20" s="335"/>
      <c r="D20" s="343">
        <f>D18*D16</f>
        <v>82230665.035578907</v>
      </c>
      <c r="E20" s="343">
        <f t="shared" ref="E20:J20" si="3">E18*E16</f>
        <v>48555065.732699417</v>
      </c>
      <c r="F20" s="344">
        <f t="shared" si="3"/>
        <v>1175004.0077290284</v>
      </c>
      <c r="G20" s="344">
        <f t="shared" si="3"/>
        <v>6432351.6522003086</v>
      </c>
      <c r="H20" s="344">
        <f t="shared" si="3"/>
        <v>9628179.1098199412</v>
      </c>
      <c r="I20" s="344">
        <f t="shared" si="3"/>
        <v>16210932.188882843</v>
      </c>
      <c r="J20" s="344">
        <f t="shared" si="3"/>
        <v>229132.34424736848</v>
      </c>
      <c r="K20" s="339">
        <f>SUM(E20:J20)</f>
        <v>82230665.035578907</v>
      </c>
      <c r="L20" s="340" t="str">
        <f>IF(ABS(K20-D20)&lt;0.01,"ok","err")</f>
        <v>ok</v>
      </c>
      <c r="M20" s="21"/>
      <c r="N20" s="21"/>
    </row>
    <row r="21" spans="1:14" ht="15.75" x14ac:dyDescent="0.25">
      <c r="A21" s="346"/>
      <c r="B21" s="334"/>
      <c r="C21" s="335"/>
      <c r="D21" s="345"/>
      <c r="E21" s="346"/>
      <c r="F21" s="260"/>
      <c r="G21" s="260"/>
      <c r="H21" s="260"/>
      <c r="I21" s="260"/>
      <c r="J21" s="260"/>
      <c r="K21" s="339"/>
      <c r="L21" s="347"/>
      <c r="M21" s="21"/>
      <c r="N21" s="21"/>
    </row>
    <row r="22" spans="1:14" ht="15.75" x14ac:dyDescent="0.25">
      <c r="A22" s="333" t="s">
        <v>1664</v>
      </c>
      <c r="B22" s="334" t="s">
        <v>2299</v>
      </c>
      <c r="C22" s="335"/>
      <c r="D22" s="343">
        <f>'Allocation ProForma'!G706</f>
        <v>26627030.658153024</v>
      </c>
      <c r="E22" s="343">
        <f t="shared" ref="E22:J22" si="4">(E14/$D$14)*$D$22</f>
        <v>15722568.014180973</v>
      </c>
      <c r="F22" s="344">
        <f t="shared" si="4"/>
        <v>380476.89050935634</v>
      </c>
      <c r="G22" s="344">
        <f t="shared" si="4"/>
        <v>2082853.4534294871</v>
      </c>
      <c r="H22" s="344">
        <f t="shared" si="4"/>
        <v>3117691.1949871746</v>
      </c>
      <c r="I22" s="344">
        <f t="shared" si="4"/>
        <v>5249245.9863222651</v>
      </c>
      <c r="J22" s="344">
        <f t="shared" si="4"/>
        <v>74195.118723767737</v>
      </c>
      <c r="K22" s="339">
        <f>SUM(E22:J22)</f>
        <v>26627030.658153024</v>
      </c>
      <c r="L22" s="340" t="str">
        <f>IF(ABS(K22-D22)&lt;0.01,"ok","err")</f>
        <v>ok</v>
      </c>
      <c r="M22" s="21"/>
      <c r="N22" s="21"/>
    </row>
    <row r="23" spans="1:14" ht="15.75" x14ac:dyDescent="0.25">
      <c r="A23" s="346"/>
      <c r="B23" s="334"/>
      <c r="C23" s="335"/>
      <c r="D23" s="345"/>
      <c r="E23" s="346"/>
      <c r="F23" s="260"/>
      <c r="G23" s="260"/>
      <c r="H23" s="260"/>
      <c r="I23" s="260"/>
      <c r="J23" s="260"/>
      <c r="K23" s="339"/>
      <c r="L23" s="347"/>
      <c r="M23" s="21"/>
      <c r="N23" s="21"/>
    </row>
    <row r="24" spans="1:14" ht="15.75" x14ac:dyDescent="0.25">
      <c r="A24" s="333" t="s">
        <v>1665</v>
      </c>
      <c r="B24" s="334" t="s">
        <v>248</v>
      </c>
      <c r="C24" s="335"/>
      <c r="D24" s="343">
        <f>D20-D22</f>
        <v>55603634.377425879</v>
      </c>
      <c r="E24" s="343">
        <f t="shared" ref="E24:J24" si="5">E20-E22</f>
        <v>32832497.718518443</v>
      </c>
      <c r="F24" s="344">
        <f t="shared" si="5"/>
        <v>794527.11721967207</v>
      </c>
      <c r="G24" s="344">
        <f t="shared" si="5"/>
        <v>4349498.1987708211</v>
      </c>
      <c r="H24" s="344">
        <f t="shared" si="5"/>
        <v>6510487.9148327671</v>
      </c>
      <c r="I24" s="344">
        <f t="shared" si="5"/>
        <v>10961686.202560578</v>
      </c>
      <c r="J24" s="344">
        <f t="shared" si="5"/>
        <v>154937.22552360076</v>
      </c>
      <c r="K24" s="339">
        <f>SUM(E24:J24)</f>
        <v>55603634.377425872</v>
      </c>
      <c r="L24" s="340" t="str">
        <f>IF(ABS(K24-D24)&lt;0.01,"ok","err")</f>
        <v>ok</v>
      </c>
      <c r="M24" s="21"/>
      <c r="N24" s="21"/>
    </row>
    <row r="25" spans="1:14" ht="15.75" x14ac:dyDescent="0.25">
      <c r="A25" s="346"/>
      <c r="B25" s="334"/>
      <c r="C25" s="335"/>
      <c r="D25" s="345"/>
      <c r="E25" s="346"/>
      <c r="F25" s="260"/>
      <c r="G25" s="260"/>
      <c r="H25" s="260"/>
      <c r="I25" s="260"/>
      <c r="J25" s="260"/>
      <c r="K25" s="339"/>
      <c r="L25" s="347"/>
      <c r="M25" s="21"/>
      <c r="N25" s="21"/>
    </row>
    <row r="26" spans="1:14" ht="15.75" x14ac:dyDescent="0.25">
      <c r="A26" s="333" t="s">
        <v>1666</v>
      </c>
      <c r="B26" s="334" t="s">
        <v>660</v>
      </c>
      <c r="C26" s="335"/>
      <c r="D26" s="343">
        <f>'Allocation ProForma'!G820+'Allocation ProForma'!G1084</f>
        <v>33558113.312228829</v>
      </c>
      <c r="E26" s="343">
        <f t="shared" ref="E26:J26" si="6">$D$26*(E24/$K$24)</f>
        <v>19815191.77834259</v>
      </c>
      <c r="F26" s="344">
        <f t="shared" si="6"/>
        <v>479515.97638950247</v>
      </c>
      <c r="G26" s="344">
        <f t="shared" si="6"/>
        <v>2625025.4149743863</v>
      </c>
      <c r="H26" s="344">
        <f t="shared" si="6"/>
        <v>3929234.0079941507</v>
      </c>
      <c r="I26" s="344">
        <f t="shared" si="6"/>
        <v>6615637.8408956211</v>
      </c>
      <c r="J26" s="344">
        <f t="shared" si="6"/>
        <v>93508.293632586996</v>
      </c>
      <c r="K26" s="339">
        <f>SUM(E26:J26)</f>
        <v>33558113.312228844</v>
      </c>
      <c r="L26" s="340" t="str">
        <f>IF(ABS(K26-D26)&lt;0.01,"ok","err")</f>
        <v>ok</v>
      </c>
      <c r="M26" s="21"/>
      <c r="N26" s="21"/>
    </row>
    <row r="27" spans="1:14" ht="15.75" x14ac:dyDescent="0.25">
      <c r="A27" s="346"/>
      <c r="B27" s="334"/>
      <c r="C27" s="335"/>
      <c r="D27" s="345"/>
      <c r="E27" s="346"/>
      <c r="F27" s="260"/>
      <c r="G27" s="260"/>
      <c r="H27" s="260"/>
      <c r="I27" s="260"/>
      <c r="J27" s="260"/>
      <c r="K27" s="339"/>
      <c r="L27" s="347"/>
      <c r="M27" s="21"/>
      <c r="N27" s="21"/>
    </row>
    <row r="28" spans="1:14" ht="15.75" x14ac:dyDescent="0.25">
      <c r="A28" s="333" t="s">
        <v>1667</v>
      </c>
      <c r="B28" s="334" t="s">
        <v>945</v>
      </c>
      <c r="C28" s="335"/>
      <c r="D28" s="343">
        <f>'Allocation ProForma'!G672</f>
        <v>332550542.46238667</v>
      </c>
      <c r="E28" s="343">
        <f>'Allocation ProForma'!G180+'Allocation ProForma'!G181+'Allocation ProForma'!G182</f>
        <v>35811223.48571723</v>
      </c>
      <c r="F28" s="344">
        <f>'Allocation ProForma'!G183</f>
        <v>204629936.74406466</v>
      </c>
      <c r="G28" s="344">
        <f>'Allocation ProForma'!G192</f>
        <v>11753875.348496508</v>
      </c>
      <c r="H28" s="344">
        <f>'Allocation ProForma'!G198+'Allocation ProForma'!G202+'Allocation ProForma'!G204+'Allocation ProForma'!G209</f>
        <v>15171865.991871621</v>
      </c>
      <c r="I28" s="344">
        <f>'Allocation ProForma'!G203+'Allocation ProForma'!G205+'Allocation ProForma'!G210+'Allocation ProForma'!G214+'Allocation ProForma'!G217</f>
        <v>30645559.443910103</v>
      </c>
      <c r="J28" s="344">
        <f>'Allocation ProForma'!G223+'Allocation ProForma'!G226</f>
        <v>34538081.448326506</v>
      </c>
      <c r="K28" s="339">
        <f>SUM(E28:J28)</f>
        <v>332550542.46238667</v>
      </c>
      <c r="L28" s="340" t="str">
        <f>IF(ABS(K28-D28)&lt;0.01,"ok","err")</f>
        <v>ok</v>
      </c>
      <c r="M28" s="21"/>
      <c r="N28" s="21"/>
    </row>
    <row r="29" spans="1:14" ht="15.75" x14ac:dyDescent="0.25">
      <c r="A29" s="333" t="s">
        <v>2300</v>
      </c>
      <c r="B29" s="334" t="s">
        <v>1040</v>
      </c>
      <c r="C29" s="335"/>
      <c r="D29" s="343">
        <f>'Allocation ProForma'!G673</f>
        <v>73699223.710939452</v>
      </c>
      <c r="E29" s="343">
        <f>'Allocation ProForma'!G300</f>
        <v>47987588.68379727</v>
      </c>
      <c r="F29" s="344">
        <v>0</v>
      </c>
      <c r="G29" s="344">
        <f>'Allocation ProForma'!G306</f>
        <v>4143897.1020940952</v>
      </c>
      <c r="H29" s="344">
        <f>'Allocation ProForma'!G312+'Allocation ProForma'!G316+'Allocation ProForma'!G318+'Allocation ProForma'!G323</f>
        <v>8039536.6793211298</v>
      </c>
      <c r="I29" s="344">
        <f>'Allocation ProForma'!G317+'Allocation ProForma'!G319+'Allocation ProForma'!G324+'Allocation ProForma'!G328+'Allocation ProForma'!G331</f>
        <v>13528201.245726952</v>
      </c>
      <c r="J29" s="344">
        <v>0</v>
      </c>
      <c r="K29" s="339">
        <f>SUM(E29:J29)</f>
        <v>73699223.710939452</v>
      </c>
      <c r="L29" s="340" t="str">
        <f>IF(ABS(K29-D29)&lt;0.01,"ok","err")</f>
        <v>ok</v>
      </c>
      <c r="M29" s="21"/>
      <c r="N29" s="21"/>
    </row>
    <row r="30" spans="1:14" ht="15.75" x14ac:dyDescent="0.25">
      <c r="A30" s="333" t="s">
        <v>2301</v>
      </c>
      <c r="B30" s="334" t="s">
        <v>521</v>
      </c>
      <c r="C30" s="335"/>
      <c r="D30" s="343">
        <f>'Allocation ProForma'!G675+'Allocation ProForma'!G676+'Allocation ProForma'!G677+'Allocation ProForma'!G674</f>
        <v>10436626.924512696</v>
      </c>
      <c r="E30" s="343">
        <f>'Allocation ProForma'!G414+'Allocation ProForma'!G471+'Allocation ProForma'!G357</f>
        <v>5720585.5469928142</v>
      </c>
      <c r="F30" s="344">
        <f>'Allocation ProForma'!G529</f>
        <v>-256.57672655147002</v>
      </c>
      <c r="G30" s="344">
        <f>'Allocation ProForma'!G420+'Allocation ProForma'!G477+'Allocation ProForma'!G363</f>
        <v>1011275.7199137779</v>
      </c>
      <c r="H30" s="344">
        <f>'Allocation ProForma'!G426+'Allocation ProForma'!G430+'Allocation ProForma'!G432+'Allocation ProForma'!G437+'Allocation ProForma'!G483+'Allocation ProForma'!G487+'Allocation ProForma'!G489+'Allocation ProForma'!G494+'Allocation ProForma'!G369+'Allocation ProForma'!G373+'Allocation ProForma'!G375+'Allocation ProForma'!G380</f>
        <v>1381074.9302561039</v>
      </c>
      <c r="I30" s="344">
        <f>'Allocation ProForma'!G431+'Allocation ProForma'!G433+'Allocation ProForma'!G438+'Allocation ProForma'!G442+'Allocation ProForma'!G445+'Allocation ProForma'!G488+'Allocation ProForma'!G490+'Allocation ProForma'!G495+'Allocation ProForma'!G499+'Allocation ProForma'!G502+'Allocation ProForma'!G374+'Allocation ProForma'!G376+'Allocation ProForma'!G381+'Allocation ProForma'!G385+'Allocation ProForma'!G388</f>
        <v>2323947.3040765515</v>
      </c>
      <c r="J30" s="344">
        <v>0</v>
      </c>
      <c r="K30" s="339">
        <f>SUM(E30:J30)</f>
        <v>10436626.924512696</v>
      </c>
      <c r="L30" s="340" t="str">
        <f>IF(ABS(K30-D30)&lt;0.01,"ok","err")</f>
        <v>ok</v>
      </c>
      <c r="M30" s="21"/>
      <c r="N30" s="21"/>
    </row>
    <row r="31" spans="1:14" ht="15.75" x14ac:dyDescent="0.25">
      <c r="A31" s="333" t="s">
        <v>2302</v>
      </c>
      <c r="B31" s="334" t="s">
        <v>2338</v>
      </c>
      <c r="C31" s="335"/>
      <c r="D31" s="343">
        <f>'Allocation ProForma'!G680</f>
        <v>2422409.363763846</v>
      </c>
      <c r="E31" s="343">
        <f>D31</f>
        <v>2422409.363763846</v>
      </c>
      <c r="F31" s="344"/>
      <c r="G31" s="344"/>
      <c r="H31" s="344"/>
      <c r="I31" s="344"/>
      <c r="J31" s="344"/>
      <c r="K31" s="339">
        <f>SUM(E31:J31)</f>
        <v>2422409.363763846</v>
      </c>
      <c r="L31" s="340" t="str">
        <f>IF(ABS(K31-D31)&lt;0.01,"ok","err")</f>
        <v>ok</v>
      </c>
      <c r="M31" s="21"/>
      <c r="N31" s="21"/>
    </row>
    <row r="32" spans="1:14" ht="15.75" x14ac:dyDescent="0.25">
      <c r="A32" s="333" t="s">
        <v>2303</v>
      </c>
      <c r="B32" s="334" t="s">
        <v>2320</v>
      </c>
      <c r="C32" s="335"/>
      <c r="D32" s="343">
        <f>'Allocation ProForma'!G826</f>
        <v>-3527953.5572937722</v>
      </c>
      <c r="E32" s="343">
        <f>D32</f>
        <v>-3527953.5572937722</v>
      </c>
      <c r="F32" s="344">
        <v>0</v>
      </c>
      <c r="G32" s="344">
        <v>0</v>
      </c>
      <c r="H32" s="344">
        <v>0</v>
      </c>
      <c r="I32" s="344">
        <v>0</v>
      </c>
      <c r="J32" s="344">
        <v>0</v>
      </c>
      <c r="K32" s="339">
        <f>SUM(E32:J32)</f>
        <v>-3527953.5572937722</v>
      </c>
      <c r="L32" s="340" t="str">
        <f t="shared" ref="L32:L38" si="7">IF(ABS(K32-D32)&lt;0.01,"ok","err")</f>
        <v>ok</v>
      </c>
      <c r="M32" s="21"/>
      <c r="N32" s="21"/>
    </row>
    <row r="33" spans="1:14" ht="15.75" x14ac:dyDescent="0.25">
      <c r="A33" s="333" t="s">
        <v>2305</v>
      </c>
      <c r="B33" s="334" t="s">
        <v>2319</v>
      </c>
      <c r="C33" s="335"/>
      <c r="D33" s="343">
        <f>'Allocation ProForma'!G825+'Allocation ProForma'!G828+'Allocation ProForma'!G829</f>
        <v>-5076644.9140347242</v>
      </c>
      <c r="E33" s="343">
        <v>0</v>
      </c>
      <c r="F33" s="344">
        <f>D33</f>
        <v>-5076644.9140347242</v>
      </c>
      <c r="G33" s="344">
        <v>0</v>
      </c>
      <c r="H33" s="344">
        <v>0</v>
      </c>
      <c r="I33" s="344">
        <v>0</v>
      </c>
      <c r="J33" s="344">
        <v>0</v>
      </c>
      <c r="K33" s="339">
        <f t="shared" ref="K33:K38" si="8">SUM(E33:J33)</f>
        <v>-5076644.9140347242</v>
      </c>
      <c r="L33" s="340" t="str">
        <f t="shared" si="7"/>
        <v>ok</v>
      </c>
      <c r="M33" s="21"/>
      <c r="N33" s="21"/>
    </row>
    <row r="34" spans="1:14" ht="15.75" x14ac:dyDescent="0.25">
      <c r="A34" s="333" t="s">
        <v>2306</v>
      </c>
      <c r="B34" s="334" t="s">
        <v>2323</v>
      </c>
      <c r="C34" s="335"/>
      <c r="D34" s="343">
        <f>'Allocation ProForma'!G839+'Allocation ProForma'!G842</f>
        <v>-1911651.5436301951</v>
      </c>
      <c r="E34" s="343">
        <v>0</v>
      </c>
      <c r="F34" s="344">
        <v>0</v>
      </c>
      <c r="G34" s="344">
        <f>D34</f>
        <v>-1911651.5436301951</v>
      </c>
      <c r="H34" s="344">
        <v>0</v>
      </c>
      <c r="I34" s="344">
        <v>0</v>
      </c>
      <c r="J34" s="344">
        <v>0</v>
      </c>
      <c r="K34" s="339">
        <f t="shared" si="8"/>
        <v>-1911651.5436301951</v>
      </c>
      <c r="L34" s="340" t="str">
        <f t="shared" si="7"/>
        <v>ok</v>
      </c>
      <c r="M34" s="21"/>
      <c r="N34" s="21"/>
    </row>
    <row r="35" spans="1:14" ht="15.75" x14ac:dyDescent="0.25">
      <c r="A35" s="333" t="s">
        <v>2308</v>
      </c>
      <c r="B35" s="334" t="s">
        <v>2321</v>
      </c>
      <c r="C35" s="335"/>
      <c r="D35" s="343">
        <f>'Allocation ProForma'!G830+'Allocation ProForma'!G837</f>
        <v>-10648673.497029327</v>
      </c>
      <c r="E35" s="343">
        <v>0</v>
      </c>
      <c r="F35" s="344">
        <v>0</v>
      </c>
      <c r="G35" s="344">
        <v>0</v>
      </c>
      <c r="H35" s="344">
        <f>(H14/($I$14+$H$14)*$D$35)</f>
        <v>-3967912.6161176548</v>
      </c>
      <c r="I35" s="344">
        <f>(I14/($I$14+$H$14)*$D$35)</f>
        <v>-6680760.8809116716</v>
      </c>
      <c r="J35" s="344">
        <v>0</v>
      </c>
      <c r="K35" s="339">
        <f t="shared" si="8"/>
        <v>-10648673.497029327</v>
      </c>
      <c r="L35" s="340" t="str">
        <f t="shared" si="7"/>
        <v>ok</v>
      </c>
      <c r="M35" s="21"/>
      <c r="N35" s="21"/>
    </row>
    <row r="36" spans="1:14" ht="15.75" x14ac:dyDescent="0.25">
      <c r="A36" s="350" t="s">
        <v>2310</v>
      </c>
      <c r="B36" s="334" t="s">
        <v>2322</v>
      </c>
      <c r="C36" s="335"/>
      <c r="D36" s="343">
        <f>'Allocation ProForma'!G831+'Allocation ProForma'!G832+'Allocation ProForma'!G833+'Allocation ProForma'!G834+'Allocation ProForma'!G835+'Allocation ProForma'!G836+'Allocation ProForma'!G838+'Allocation ProForma'!G840+'Allocation ProForma'!G841+'Allocation ProForma'!G843+'Allocation ProForma'!G844+'Allocation ProForma'!G845+'Allocation ProForma'!G846+'Allocation ProForma'!G847</f>
        <v>-1228001.6728662609</v>
      </c>
      <c r="E36" s="343">
        <f t="shared" ref="E36:J36" si="9">(E14/($D$14)*$D$36)</f>
        <v>-725103.00044500153</v>
      </c>
      <c r="F36" s="344">
        <f t="shared" si="9"/>
        <v>-17547.065763015566</v>
      </c>
      <c r="G36" s="344">
        <f t="shared" si="9"/>
        <v>-96058.308490493015</v>
      </c>
      <c r="H36" s="344">
        <f t="shared" si="9"/>
        <v>-143783.58789144186</v>
      </c>
      <c r="I36" s="344">
        <f t="shared" si="9"/>
        <v>-242087.93444703901</v>
      </c>
      <c r="J36" s="344">
        <f t="shared" si="9"/>
        <v>-3421.7758292699377</v>
      </c>
      <c r="K36" s="339">
        <f t="shared" si="8"/>
        <v>-1228001.6728662609</v>
      </c>
      <c r="L36" s="340" t="str">
        <f t="shared" si="7"/>
        <v>ok</v>
      </c>
      <c r="M36" s="21"/>
      <c r="N36" s="21"/>
    </row>
    <row r="37" spans="1:14" ht="15.75" x14ac:dyDescent="0.25">
      <c r="A37" s="333"/>
      <c r="B37" s="334"/>
      <c r="C37" s="21"/>
      <c r="D37" s="343"/>
      <c r="E37" s="343"/>
      <c r="F37" s="344"/>
      <c r="G37" s="344"/>
      <c r="H37" s="344"/>
      <c r="I37" s="344"/>
      <c r="J37" s="344"/>
      <c r="K37" s="339"/>
      <c r="L37" s="340"/>
      <c r="M37" s="21"/>
      <c r="N37" s="21"/>
    </row>
    <row r="38" spans="1:14" ht="15.75" x14ac:dyDescent="0.25">
      <c r="A38" s="333" t="s">
        <v>2324</v>
      </c>
      <c r="B38" s="334" t="s">
        <v>2329</v>
      </c>
      <c r="C38" s="335"/>
      <c r="D38" s="343">
        <f>'Allocation ProForma'!G848</f>
        <v>-22392925.18485428</v>
      </c>
      <c r="E38" s="343">
        <f t="shared" ref="E38:J38" si="10">SUM(E32:E36)</f>
        <v>-4253056.5577387735</v>
      </c>
      <c r="F38" s="344">
        <f t="shared" si="10"/>
        <v>-5094191.9797977395</v>
      </c>
      <c r="G38" s="344">
        <f t="shared" si="10"/>
        <v>-2007709.8521206882</v>
      </c>
      <c r="H38" s="344">
        <f t="shared" si="10"/>
        <v>-4111696.2040090966</v>
      </c>
      <c r="I38" s="344">
        <f t="shared" si="10"/>
        <v>-6922848.8153587105</v>
      </c>
      <c r="J38" s="344">
        <f t="shared" si="10"/>
        <v>-3421.7758292699377</v>
      </c>
      <c r="K38" s="339">
        <f t="shared" si="8"/>
        <v>-22392925.18485428</v>
      </c>
      <c r="L38" s="340" t="str">
        <f t="shared" si="7"/>
        <v>ok</v>
      </c>
      <c r="M38" s="21"/>
      <c r="N38" s="21"/>
    </row>
    <row r="39" spans="1:14" ht="15.75" x14ac:dyDescent="0.25">
      <c r="A39" s="346"/>
      <c r="B39" s="334"/>
      <c r="C39" s="335"/>
      <c r="D39" s="343"/>
      <c r="E39" s="346"/>
      <c r="F39" s="260"/>
      <c r="G39" s="260"/>
      <c r="H39" s="260"/>
      <c r="I39" s="260"/>
      <c r="J39" s="260"/>
      <c r="K39" s="323"/>
      <c r="L39" s="347"/>
      <c r="M39" s="21"/>
      <c r="N39" s="21"/>
    </row>
    <row r="40" spans="1:14" ht="15.75" x14ac:dyDescent="0.25">
      <c r="A40" s="333" t="s">
        <v>2325</v>
      </c>
      <c r="B40" s="334" t="s">
        <v>2304</v>
      </c>
      <c r="C40" s="351">
        <f>'Allocation ProForma'!G1075</f>
        <v>512504655.62455612</v>
      </c>
      <c r="D40" s="343">
        <f>SUM(D28:D31)+D22+D26+D38+D24</f>
        <v>512504655.62455618</v>
      </c>
      <c r="E40" s="343">
        <f t="shared" ref="E40:J40" si="11">SUM(E28:E31)+E22+E26+E38+E24</f>
        <v>156059008.03357437</v>
      </c>
      <c r="F40" s="344">
        <f t="shared" si="11"/>
        <v>201190008.1716589</v>
      </c>
      <c r="G40" s="344">
        <f t="shared" si="11"/>
        <v>23958715.385558389</v>
      </c>
      <c r="H40" s="344">
        <f t="shared" si="11"/>
        <v>34038194.515253849</v>
      </c>
      <c r="I40" s="344">
        <f t="shared" si="11"/>
        <v>62401429.208133355</v>
      </c>
      <c r="J40" s="344">
        <f t="shared" si="11"/>
        <v>34857300.310377188</v>
      </c>
      <c r="K40" s="339">
        <f>SUM(E40:J40)</f>
        <v>512504655.62455601</v>
      </c>
      <c r="L40" s="340" t="str">
        <f>IF(ABS(K40-D40)&lt;0.01,"ok","err")</f>
        <v>ok</v>
      </c>
      <c r="M40" s="21"/>
      <c r="N40" s="21"/>
    </row>
    <row r="41" spans="1:14" ht="15.75" x14ac:dyDescent="0.25">
      <c r="A41" s="346"/>
      <c r="B41" s="334"/>
      <c r="C41" s="335"/>
      <c r="D41" s="352"/>
      <c r="E41" s="346"/>
      <c r="F41" s="260"/>
      <c r="G41" s="260"/>
      <c r="H41" s="260"/>
      <c r="I41" s="260"/>
      <c r="J41" s="260"/>
      <c r="K41" s="323"/>
      <c r="L41" s="347"/>
      <c r="M41" s="21"/>
      <c r="N41" s="21"/>
    </row>
    <row r="42" spans="1:14" ht="15.75" x14ac:dyDescent="0.25">
      <c r="A42" s="333" t="s">
        <v>2326</v>
      </c>
      <c r="B42" s="334" t="s">
        <v>2347</v>
      </c>
      <c r="C42" s="335"/>
      <c r="D42" s="343">
        <f>-'Allocation ProForma'!G661</f>
        <v>-4144146.1724963789</v>
      </c>
      <c r="E42" s="343"/>
      <c r="F42" s="344">
        <v>0</v>
      </c>
      <c r="G42" s="344">
        <f>D42</f>
        <v>-4144146.1724963789</v>
      </c>
      <c r="H42" s="344">
        <v>0</v>
      </c>
      <c r="I42" s="344">
        <v>0</v>
      </c>
      <c r="J42" s="344">
        <v>0</v>
      </c>
      <c r="K42" s="339">
        <f>SUM(E42:J42)</f>
        <v>-4144146.1724963789</v>
      </c>
      <c r="L42" s="340" t="str">
        <f>IF(ABS(K42-D42)&lt;0.01,"ok","err")</f>
        <v>ok</v>
      </c>
      <c r="M42" s="21"/>
      <c r="N42" s="21"/>
    </row>
    <row r="43" spans="1:14" ht="15.75" x14ac:dyDescent="0.25">
      <c r="A43" s="333" t="s">
        <v>2327</v>
      </c>
      <c r="B43" s="334" t="s">
        <v>2330</v>
      </c>
      <c r="C43" s="335"/>
      <c r="D43" s="343">
        <f>-('Allocation ProForma'!G654+'Allocation ProForma'!G655+'Allocation ProForma'!G656)</f>
        <v>-9697329.3285144661</v>
      </c>
      <c r="E43" s="343">
        <v>0</v>
      </c>
      <c r="F43" s="344">
        <f>D43</f>
        <v>-9697329.3285144661</v>
      </c>
      <c r="G43" s="344">
        <v>0</v>
      </c>
      <c r="H43" s="344">
        <v>0</v>
      </c>
      <c r="I43" s="344">
        <v>0</v>
      </c>
      <c r="J43" s="344">
        <v>0</v>
      </c>
      <c r="K43" s="339">
        <f>SUM(E43:J43)</f>
        <v>-9697329.3285144661</v>
      </c>
      <c r="L43" s="340" t="str">
        <f>IF(ABS(K43-D43)&lt;0.01,"ok","err")</f>
        <v>ok</v>
      </c>
      <c r="M43" s="21"/>
      <c r="N43" s="21"/>
    </row>
    <row r="44" spans="1:14" ht="15.75" x14ac:dyDescent="0.25">
      <c r="A44" s="333" t="s">
        <v>2328</v>
      </c>
      <c r="B44" s="334" t="s">
        <v>2331</v>
      </c>
      <c r="C44" s="335"/>
      <c r="D44" s="343">
        <f>-('Allocation ProForma'!G652+'Allocation ProForma'!G653+'Allocation ProForma'!G657+'Allocation ProForma'!G658+'Allocation ProForma'!G659+'Allocation ProForma'!G660+'Allocation ProForma'!G662+'Allocation ProForma'!G663+'Allocation ProForma'!G664+'Allocation ProForma'!G665+'Allocation ProForma'!G666)</f>
        <v>-8338158.5123158442</v>
      </c>
      <c r="E44" s="343">
        <f t="shared" ref="E44:J44" si="12">(E14/($D$14)*$D$44)</f>
        <v>-4923465.4064878533</v>
      </c>
      <c r="F44" s="344">
        <f t="shared" si="12"/>
        <v>-119144.96453132153</v>
      </c>
      <c r="G44" s="344">
        <f t="shared" si="12"/>
        <v>-652238.03869027423</v>
      </c>
      <c r="H44" s="344">
        <f t="shared" si="12"/>
        <v>-976293.7411233543</v>
      </c>
      <c r="I44" s="344">
        <f t="shared" si="12"/>
        <v>-1643782.4279400443</v>
      </c>
      <c r="J44" s="344">
        <f t="shared" si="12"/>
        <v>-23233.933542996911</v>
      </c>
      <c r="K44" s="339">
        <f>SUM(E44:J44)</f>
        <v>-8338158.5123158442</v>
      </c>
      <c r="L44" s="340" t="str">
        <f>IF(ABS(K44-D44)&lt;0.01,"ok","err")</f>
        <v>ok</v>
      </c>
      <c r="M44" s="21"/>
      <c r="N44" s="21"/>
    </row>
    <row r="45" spans="1:14" ht="15.75" x14ac:dyDescent="0.25">
      <c r="A45" s="333" t="s">
        <v>2332</v>
      </c>
      <c r="B45" s="334" t="s">
        <v>2334</v>
      </c>
      <c r="C45" s="335"/>
      <c r="D45" s="343">
        <f>SUM(D42:D44)</f>
        <v>-22179634.01332669</v>
      </c>
      <c r="E45" s="343">
        <f t="shared" ref="E45:J45" si="13">SUM(E42:E44)</f>
        <v>-4923465.4064878533</v>
      </c>
      <c r="F45" s="344">
        <f t="shared" si="13"/>
        <v>-9816474.2930457871</v>
      </c>
      <c r="G45" s="344">
        <f t="shared" si="13"/>
        <v>-4796384.211186653</v>
      </c>
      <c r="H45" s="344">
        <f t="shared" si="13"/>
        <v>-976293.7411233543</v>
      </c>
      <c r="I45" s="344">
        <f t="shared" si="13"/>
        <v>-1643782.4279400443</v>
      </c>
      <c r="J45" s="344">
        <f t="shared" si="13"/>
        <v>-23233.933542996911</v>
      </c>
      <c r="K45" s="339">
        <f>SUM(E45:J45)</f>
        <v>-22179634.013326693</v>
      </c>
      <c r="L45" s="340" t="str">
        <f>IF(ABS(K45-D45)&lt;0.01,"ok","err")</f>
        <v>ok</v>
      </c>
      <c r="M45" s="21"/>
      <c r="N45" s="21"/>
    </row>
    <row r="46" spans="1:14" ht="15.75" x14ac:dyDescent="0.25">
      <c r="A46" s="346"/>
      <c r="B46" s="334"/>
      <c r="C46" s="21"/>
      <c r="D46" s="345"/>
      <c r="E46" s="346"/>
      <c r="F46" s="260"/>
      <c r="G46" s="260"/>
      <c r="H46" s="260"/>
      <c r="I46" s="260"/>
      <c r="J46" s="260"/>
      <c r="K46" s="323"/>
      <c r="L46" s="347"/>
      <c r="M46" s="21"/>
      <c r="N46" s="21"/>
    </row>
    <row r="47" spans="1:14" ht="15.75" x14ac:dyDescent="0.25">
      <c r="A47" s="333" t="s">
        <v>2333</v>
      </c>
      <c r="B47" s="334" t="s">
        <v>2307</v>
      </c>
      <c r="C47" s="353">
        <f>'Allocation ProForma'!G1075-SUM('Allocation ProForma'!G652:G666)</f>
        <v>490325021.61122942</v>
      </c>
      <c r="D47" s="343">
        <f>D40+D45</f>
        <v>490325021.61122948</v>
      </c>
      <c r="E47" s="343">
        <f t="shared" ref="E47:J47" si="14">E40+E45</f>
        <v>151135542.62708652</v>
      </c>
      <c r="F47" s="344">
        <f t="shared" si="14"/>
        <v>191373533.87861311</v>
      </c>
      <c r="G47" s="344">
        <f t="shared" si="14"/>
        <v>19162331.174371734</v>
      </c>
      <c r="H47" s="344">
        <f t="shared" si="14"/>
        <v>33061900.774130493</v>
      </c>
      <c r="I47" s="344">
        <f t="shared" si="14"/>
        <v>60757646.780193314</v>
      </c>
      <c r="J47" s="344">
        <f t="shared" si="14"/>
        <v>34834066.376834191</v>
      </c>
      <c r="K47" s="339">
        <f>SUM(E47:J47)</f>
        <v>490325021.61122936</v>
      </c>
      <c r="L47" s="340" t="str">
        <f>IF(ABS(K47-D47)&lt;0.01,"ok","err")</f>
        <v>ok</v>
      </c>
      <c r="M47" s="21"/>
      <c r="N47" s="21"/>
    </row>
    <row r="48" spans="1:14" ht="15.75" x14ac:dyDescent="0.25">
      <c r="A48" s="346"/>
      <c r="B48" s="334"/>
      <c r="C48" s="335"/>
      <c r="D48" s="343"/>
      <c r="E48" s="346"/>
      <c r="F48" s="260"/>
      <c r="G48" s="260"/>
      <c r="H48" s="260"/>
      <c r="I48" s="260"/>
      <c r="J48" s="260"/>
      <c r="K48" s="323"/>
      <c r="L48" s="347"/>
      <c r="M48" s="21"/>
      <c r="N48" s="21"/>
    </row>
    <row r="49" spans="1:14" ht="15.75" x14ac:dyDescent="0.25">
      <c r="A49" s="333" t="s">
        <v>2339</v>
      </c>
      <c r="B49" s="334" t="s">
        <v>2309</v>
      </c>
      <c r="C49" s="335"/>
      <c r="D49" s="354"/>
      <c r="E49" s="355">
        <f>'Allocation ProForma'!$G$1121</f>
        <v>5944171807</v>
      </c>
      <c r="F49" s="356">
        <f>'Allocation ProForma'!$G$1121</f>
        <v>5944171807</v>
      </c>
      <c r="G49" s="356">
        <f>'Allocation ProForma'!$G$1121</f>
        <v>5944171807</v>
      </c>
      <c r="H49" s="356">
        <f>'Allocation ProForma'!$G$1121</f>
        <v>5944171807</v>
      </c>
      <c r="I49" s="356">
        <v>5044174</v>
      </c>
      <c r="J49" s="356">
        <f>I49</f>
        <v>5044174</v>
      </c>
      <c r="K49" s="323"/>
      <c r="L49" s="347"/>
      <c r="M49" s="21"/>
      <c r="N49" s="21"/>
    </row>
    <row r="50" spans="1:14" ht="16.5" thickBot="1" x14ac:dyDescent="0.3">
      <c r="A50" s="346"/>
      <c r="B50" s="334"/>
      <c r="C50" s="335"/>
      <c r="D50" s="345"/>
      <c r="E50" s="346"/>
      <c r="F50" s="260"/>
      <c r="G50" s="260"/>
      <c r="H50" s="260"/>
      <c r="I50" s="260"/>
      <c r="J50" s="260"/>
      <c r="K50" s="323"/>
      <c r="L50" s="347"/>
      <c r="M50" s="21"/>
      <c r="N50" s="21"/>
    </row>
    <row r="51" spans="1:14" ht="16.5" thickBot="1" x14ac:dyDescent="0.3">
      <c r="A51" s="357" t="s">
        <v>2340</v>
      </c>
      <c r="B51" s="358" t="s">
        <v>2311</v>
      </c>
      <c r="C51" s="359"/>
      <c r="D51" s="360"/>
      <c r="E51" s="361">
        <f t="shared" ref="E51:J51" si="15">E47/E49</f>
        <v>2.5425836859073566E-2</v>
      </c>
      <c r="F51" s="362">
        <f t="shared" si="15"/>
        <v>3.2195155202823553E-2</v>
      </c>
      <c r="G51" s="362">
        <f t="shared" si="15"/>
        <v>3.2237175836347313E-3</v>
      </c>
      <c r="H51" s="362">
        <f t="shared" si="15"/>
        <v>5.5620701836370211E-3</v>
      </c>
      <c r="I51" s="363">
        <f>I47/I49</f>
        <v>12.045113190027408</v>
      </c>
      <c r="J51" s="363">
        <f t="shared" si="15"/>
        <v>6.9058018967692609</v>
      </c>
      <c r="K51" s="364">
        <f>I51+J51</f>
        <v>18.95091508679667</v>
      </c>
      <c r="L51" s="365"/>
      <c r="M51" s="21"/>
      <c r="N51" s="21"/>
    </row>
    <row r="52" spans="1:14" ht="15.75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ht="15.75" x14ac:dyDescent="0.25">
      <c r="A53" s="21"/>
      <c r="B53" s="21"/>
      <c r="C53" s="21"/>
      <c r="D53" s="366"/>
      <c r="E53" s="21"/>
      <c r="F53" s="21"/>
      <c r="G53" s="21"/>
      <c r="H53" s="21"/>
      <c r="I53" s="21"/>
      <c r="J53" s="21" t="s">
        <v>2349</v>
      </c>
      <c r="K53" s="367">
        <f>I51+J51</f>
        <v>18.95091508679667</v>
      </c>
      <c r="L53" s="21"/>
      <c r="M53" s="21"/>
      <c r="N53" s="21"/>
    </row>
    <row r="54" spans="1:14" ht="15.75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1" t="s">
        <v>2348</v>
      </c>
      <c r="K54" s="368">
        <f>E51+F51+G51+H51</f>
        <v>6.6406779829168872E-2</v>
      </c>
      <c r="L54" s="21"/>
      <c r="M54" s="21"/>
      <c r="N54" s="21"/>
    </row>
    <row r="55" spans="1:14" ht="15.75" x14ac:dyDescent="0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</row>
    <row r="56" spans="1:14" ht="15.75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 t="s">
        <v>1754</v>
      </c>
      <c r="K56" s="369">
        <f>K53</f>
        <v>18.95091508679667</v>
      </c>
      <c r="L56" s="21"/>
      <c r="M56" s="21"/>
      <c r="N56" s="21"/>
    </row>
    <row r="57" spans="1:14" ht="16.5" thickBot="1" x14ac:dyDescent="0.3">
      <c r="A57" s="21"/>
      <c r="B57" s="21"/>
      <c r="C57" s="21"/>
      <c r="D57" s="21"/>
      <c r="E57" s="21"/>
      <c r="F57" s="21"/>
      <c r="G57" s="21"/>
      <c r="H57" s="21"/>
      <c r="I57" s="21"/>
      <c r="J57" s="21" t="s">
        <v>2800</v>
      </c>
      <c r="K57" s="370">
        <f>((I47+J47)*D18)/J49</f>
        <v>1.0580125020566589</v>
      </c>
      <c r="L57" s="21"/>
      <c r="M57" s="21"/>
      <c r="N57" s="21"/>
    </row>
    <row r="58" spans="1:14" ht="16.5" thickBot="1" x14ac:dyDescent="0.3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371">
        <f>SUM(K56:K57)</f>
        <v>20.008927588853329</v>
      </c>
      <c r="L58" s="21"/>
      <c r="M58" s="21"/>
      <c r="N58" s="21"/>
    </row>
    <row r="59" spans="1:14" ht="15.75" x14ac:dyDescent="0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</row>
  </sheetData>
  <mergeCells count="6">
    <mergeCell ref="E9:F9"/>
    <mergeCell ref="H9:I9"/>
    <mergeCell ref="A1:N1"/>
    <mergeCell ref="A3:N3"/>
    <mergeCell ref="A4:N4"/>
    <mergeCell ref="A6:N6"/>
  </mergeCells>
  <pageMargins left="0.7" right="0.7" top="0.75" bottom="0.75" header="0.3" footer="0.3"/>
  <pageSetup scale="47" orientation="landscape" r:id="rId1"/>
  <headerFooter>
    <oddFooter>&amp;R&amp;"Times New Roman,Bold"&amp;12Conroy Exhibit R2
Page 1 of 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58"/>
  <sheetViews>
    <sheetView view="pageBreakPreview" zoomScale="60" zoomScaleNormal="100" workbookViewId="0">
      <selection activeCell="D26" sqref="D26"/>
    </sheetView>
  </sheetViews>
  <sheetFormatPr defaultRowHeight="15" x14ac:dyDescent="0.25"/>
  <cols>
    <col min="1" max="1" width="4.5703125" customWidth="1"/>
    <col min="2" max="2" width="41.140625" bestFit="1" customWidth="1"/>
    <col min="3" max="3" width="14.85546875" customWidth="1"/>
    <col min="4" max="4" width="22" customWidth="1"/>
    <col min="5" max="5" width="22.5703125" bestFit="1" customWidth="1"/>
    <col min="6" max="6" width="20.5703125" bestFit="1" customWidth="1"/>
    <col min="7" max="8" width="22.5703125" bestFit="1" customWidth="1"/>
    <col min="9" max="9" width="24.7109375" bestFit="1" customWidth="1"/>
    <col min="10" max="10" width="37" bestFit="1" customWidth="1"/>
    <col min="11" max="11" width="17.7109375" customWidth="1"/>
    <col min="12" max="12" width="17.85546875" customWidth="1"/>
  </cols>
  <sheetData>
    <row r="1" spans="1:14" ht="15.75" x14ac:dyDescent="0.25">
      <c r="A1" s="514" t="s">
        <v>1775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</row>
    <row r="2" spans="1:14" ht="15.75" x14ac:dyDescent="0.25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</row>
    <row r="3" spans="1:14" ht="15.75" x14ac:dyDescent="0.25">
      <c r="A3" s="514" t="s">
        <v>2316</v>
      </c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</row>
    <row r="4" spans="1:14" ht="15.75" x14ac:dyDescent="0.25">
      <c r="A4" s="514" t="s">
        <v>2770</v>
      </c>
      <c r="B4" s="514"/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</row>
    <row r="5" spans="1:14" ht="15.75" x14ac:dyDescent="0.25">
      <c r="A5" s="262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</row>
    <row r="6" spans="1:14" ht="15.75" x14ac:dyDescent="0.25">
      <c r="A6" s="514" t="s">
        <v>2356</v>
      </c>
      <c r="B6" s="514"/>
      <c r="C6" s="514"/>
      <c r="D6" s="514"/>
      <c r="E6" s="514"/>
      <c r="F6" s="514"/>
      <c r="G6" s="514"/>
      <c r="H6" s="514"/>
      <c r="I6" s="514"/>
      <c r="J6" s="514"/>
      <c r="K6" s="514"/>
      <c r="L6" s="514"/>
      <c r="M6" s="514"/>
      <c r="N6" s="514"/>
    </row>
    <row r="8" spans="1:14" ht="15.75" thickBot="1" x14ac:dyDescent="0.3"/>
    <row r="9" spans="1:14" ht="15.75" thickBot="1" x14ac:dyDescent="0.3">
      <c r="A9" s="129"/>
      <c r="B9" s="130"/>
      <c r="C9" s="131"/>
      <c r="D9" s="129"/>
      <c r="E9" s="515" t="s">
        <v>2312</v>
      </c>
      <c r="F9" s="516"/>
      <c r="G9" s="132" t="s">
        <v>552</v>
      </c>
      <c r="H9" s="515" t="s">
        <v>132</v>
      </c>
      <c r="I9" s="516"/>
      <c r="J9" s="259" t="s">
        <v>2317</v>
      </c>
      <c r="K9" s="131"/>
      <c r="L9" s="263"/>
    </row>
    <row r="10" spans="1:14" x14ac:dyDescent="0.25">
      <c r="A10" s="133"/>
      <c r="B10" s="134"/>
      <c r="C10" s="135"/>
      <c r="D10" s="135"/>
      <c r="E10" s="131"/>
      <c r="F10" s="131"/>
      <c r="G10" s="131"/>
      <c r="H10" s="131"/>
      <c r="I10" s="131"/>
      <c r="J10" s="129"/>
      <c r="K10" s="135"/>
      <c r="L10" s="264"/>
    </row>
    <row r="11" spans="1:14" x14ac:dyDescent="0.25">
      <c r="A11" s="133"/>
      <c r="B11" s="134"/>
      <c r="C11" s="135"/>
      <c r="D11" s="135"/>
      <c r="E11" s="135"/>
      <c r="F11" s="135"/>
      <c r="G11" s="135"/>
      <c r="H11" s="135"/>
      <c r="I11" s="135"/>
      <c r="J11" s="133"/>
      <c r="K11" s="135"/>
      <c r="L11" s="264"/>
    </row>
    <row r="12" spans="1:14" ht="15.75" thickBot="1" x14ac:dyDescent="0.3">
      <c r="A12" s="136"/>
      <c r="B12" s="265" t="s">
        <v>119</v>
      </c>
      <c r="C12" s="266" t="s">
        <v>1424</v>
      </c>
      <c r="D12" s="266" t="s">
        <v>2318</v>
      </c>
      <c r="E12" s="137" t="s">
        <v>2313</v>
      </c>
      <c r="F12" s="137" t="s">
        <v>2314</v>
      </c>
      <c r="G12" s="137" t="s">
        <v>2313</v>
      </c>
      <c r="H12" s="137" t="s">
        <v>2313</v>
      </c>
      <c r="I12" s="137" t="s">
        <v>2315</v>
      </c>
      <c r="J12" s="273" t="s">
        <v>2315</v>
      </c>
      <c r="K12" s="138" t="s">
        <v>82</v>
      </c>
      <c r="L12" s="138" t="s">
        <v>2335</v>
      </c>
    </row>
    <row r="13" spans="1:14" x14ac:dyDescent="0.25">
      <c r="A13" s="120"/>
      <c r="B13" s="121"/>
      <c r="C13" s="139"/>
      <c r="D13" s="143"/>
      <c r="E13" s="144"/>
      <c r="F13" s="144"/>
      <c r="G13" s="144"/>
      <c r="H13" s="144"/>
      <c r="I13" s="144"/>
      <c r="J13" s="144"/>
      <c r="K13" s="152"/>
      <c r="L13" s="153"/>
    </row>
    <row r="14" spans="1:14" x14ac:dyDescent="0.25">
      <c r="A14" s="124" t="s">
        <v>1425</v>
      </c>
      <c r="B14" s="123" t="s">
        <v>210</v>
      </c>
      <c r="C14" s="140"/>
      <c r="D14" s="284">
        <f>'Allocation ProForma'!H174</f>
        <v>443688101.28910929</v>
      </c>
      <c r="E14" s="278">
        <f>'Allocation ProForma'!H123+'Allocation ProForma'!H124+'Allocation ProForma'!H125</f>
        <v>271406661.1240769</v>
      </c>
      <c r="F14" s="278">
        <f>'Allocation ProForma'!H126</f>
        <v>7083625.6273738388</v>
      </c>
      <c r="G14" s="278">
        <f>'Allocation ProForma'!H135</f>
        <v>35954705.420652494</v>
      </c>
      <c r="H14" s="278">
        <f>'Allocation ProForma'!H145+'Allocation ProForma'!H147+'Allocation ProForma'!H152+'Allocation ProForma'!H141</f>
        <v>49853316.151837334</v>
      </c>
      <c r="I14" s="278">
        <f>'Allocation ProForma'!H146+'Allocation ProForma'!H148+'Allocation ProForma'!H153+'Allocation ProForma'!H157+'Allocation ProForma'!H160+'Allocation ProForma'!H163</f>
        <v>77702882.546033055</v>
      </c>
      <c r="J14" s="278">
        <f>'Allocation ProForma'!H166+'Allocation ProForma'!H169</f>
        <v>1686910.419135557</v>
      </c>
      <c r="K14" s="294">
        <f>SUM(E14:J14)</f>
        <v>443688101.28910923</v>
      </c>
      <c r="L14" s="154" t="str">
        <f>IF(ABS(K14-D14)&lt;0.01,"ok","err")</f>
        <v>ok</v>
      </c>
    </row>
    <row r="15" spans="1:14" x14ac:dyDescent="0.25">
      <c r="A15" s="125" t="s">
        <v>1663</v>
      </c>
      <c r="B15" s="123" t="s">
        <v>2293</v>
      </c>
      <c r="C15" s="140"/>
      <c r="D15" s="284">
        <f>'Allocation ProForma'!H857+'Allocation ProForma'!H858+'Allocation ProForma'!H859</f>
        <v>-22538046.296645496</v>
      </c>
      <c r="E15" s="279">
        <f t="shared" ref="E15:J15" si="0">(E14/$D$14)*$D$15</f>
        <v>-13786657.509768488</v>
      </c>
      <c r="F15" s="279">
        <f t="shared" si="0"/>
        <v>-359827.27928470337</v>
      </c>
      <c r="G15" s="279">
        <f t="shared" si="0"/>
        <v>-1826392.9390905381</v>
      </c>
      <c r="H15" s="279">
        <f t="shared" si="0"/>
        <v>-2532401.3517758814</v>
      </c>
      <c r="I15" s="279">
        <f t="shared" si="0"/>
        <v>-3947077.145222255</v>
      </c>
      <c r="J15" s="279">
        <f t="shared" si="0"/>
        <v>-85690.071503623782</v>
      </c>
      <c r="K15" s="294">
        <f>SUM(E15:J15)</f>
        <v>-22538046.296645489</v>
      </c>
      <c r="L15" s="154" t="str">
        <f>IF(ABS(K15-D15)&lt;0.01,"ok","err")</f>
        <v>ok</v>
      </c>
    </row>
    <row r="16" spans="1:14" x14ac:dyDescent="0.25">
      <c r="A16" s="125" t="s">
        <v>2294</v>
      </c>
      <c r="B16" s="123" t="s">
        <v>2295</v>
      </c>
      <c r="C16" s="140"/>
      <c r="D16" s="286">
        <f>D14+D15</f>
        <v>421150054.99246377</v>
      </c>
      <c r="E16" s="276">
        <f t="shared" ref="E16:K16" si="1">E14+E15</f>
        <v>257620003.61430842</v>
      </c>
      <c r="F16" s="276">
        <f t="shared" si="1"/>
        <v>6723798.3480891353</v>
      </c>
      <c r="G16" s="276">
        <f t="shared" si="1"/>
        <v>34128312.481561959</v>
      </c>
      <c r="H16" s="276">
        <f t="shared" si="1"/>
        <v>47320914.800061449</v>
      </c>
      <c r="I16" s="276">
        <f t="shared" si="1"/>
        <v>73755805.400810793</v>
      </c>
      <c r="J16" s="276">
        <f t="shared" si="1"/>
        <v>1601220.3476319332</v>
      </c>
      <c r="K16" s="294">
        <f t="shared" si="1"/>
        <v>421150054.99246377</v>
      </c>
      <c r="L16" s="154" t="str">
        <f>IF(ABS(K16-D16)&lt;0.01,"ok","err")</f>
        <v>ok</v>
      </c>
    </row>
    <row r="17" spans="1:12" x14ac:dyDescent="0.25">
      <c r="A17" s="125"/>
      <c r="B17" s="126"/>
      <c r="C17" s="141"/>
      <c r="D17" s="287"/>
      <c r="E17" s="186"/>
      <c r="F17" s="186"/>
      <c r="G17" s="186"/>
      <c r="H17" s="186"/>
      <c r="I17" s="186"/>
      <c r="J17" s="186"/>
      <c r="K17" s="294"/>
      <c r="L17" s="155"/>
    </row>
    <row r="18" spans="1:12" x14ac:dyDescent="0.25">
      <c r="A18" s="125" t="s">
        <v>2296</v>
      </c>
      <c r="B18" s="123" t="s">
        <v>534</v>
      </c>
      <c r="C18" s="140"/>
      <c r="D18" s="288">
        <f>'Allocation ProForma'!H1092</f>
        <v>9.9710569853990405E-2</v>
      </c>
      <c r="E18" s="280">
        <f t="shared" ref="E18:J18" si="2">D18</f>
        <v>9.9710569853990405E-2</v>
      </c>
      <c r="F18" s="280">
        <f t="shared" si="2"/>
        <v>9.9710569853990405E-2</v>
      </c>
      <c r="G18" s="280">
        <f t="shared" si="2"/>
        <v>9.9710569853990405E-2</v>
      </c>
      <c r="H18" s="280">
        <f t="shared" si="2"/>
        <v>9.9710569853990405E-2</v>
      </c>
      <c r="I18" s="280">
        <f t="shared" si="2"/>
        <v>9.9710569853990405E-2</v>
      </c>
      <c r="J18" s="280">
        <f t="shared" si="2"/>
        <v>9.9710569853990405E-2</v>
      </c>
      <c r="K18" s="294"/>
      <c r="L18" s="154"/>
    </row>
    <row r="19" spans="1:12" x14ac:dyDescent="0.25">
      <c r="A19" s="122"/>
      <c r="B19" s="123"/>
      <c r="C19" s="141"/>
      <c r="D19" s="287"/>
      <c r="E19" s="186"/>
      <c r="F19" s="186"/>
      <c r="G19" s="186"/>
      <c r="H19" s="186"/>
      <c r="I19" s="186"/>
      <c r="J19" s="186"/>
      <c r="K19" s="294"/>
      <c r="L19" s="155"/>
    </row>
    <row r="20" spans="1:12" x14ac:dyDescent="0.25">
      <c r="A20" s="125" t="s">
        <v>2297</v>
      </c>
      <c r="B20" s="123" t="s">
        <v>2298</v>
      </c>
      <c r="C20" s="140"/>
      <c r="D20" s="286">
        <f>D18*D16</f>
        <v>41993111.977337956</v>
      </c>
      <c r="E20" s="276">
        <f t="shared" ref="E20:J20" si="3">E18*E16</f>
        <v>25687437.366169762</v>
      </c>
      <c r="F20" s="276">
        <f t="shared" si="3"/>
        <v>670433.76487128704</v>
      </c>
      <c r="G20" s="276">
        <f t="shared" si="3"/>
        <v>3402953.4856915963</v>
      </c>
      <c r="H20" s="276">
        <f t="shared" si="3"/>
        <v>4718395.3807262555</v>
      </c>
      <c r="I20" s="276">
        <f t="shared" si="3"/>
        <v>7354233.386554867</v>
      </c>
      <c r="J20" s="276">
        <f t="shared" si="3"/>
        <v>159658.59332418468</v>
      </c>
      <c r="K20" s="294">
        <f>SUM(E20:J20)</f>
        <v>41993111.977337956</v>
      </c>
      <c r="L20" s="154" t="str">
        <f>IF(ABS(K20-D20)&lt;0.01,"ok","err")</f>
        <v>ok</v>
      </c>
    </row>
    <row r="21" spans="1:12" x14ac:dyDescent="0.25">
      <c r="A21" s="122"/>
      <c r="B21" s="123"/>
      <c r="C21" s="141"/>
      <c r="D21" s="287"/>
      <c r="E21" s="186"/>
      <c r="F21" s="186"/>
      <c r="G21" s="186"/>
      <c r="H21" s="186"/>
      <c r="I21" s="186"/>
      <c r="J21" s="186"/>
      <c r="K21" s="294"/>
      <c r="L21" s="155"/>
    </row>
    <row r="22" spans="1:12" x14ac:dyDescent="0.25">
      <c r="A22" s="125" t="s">
        <v>1664</v>
      </c>
      <c r="B22" s="123" t="s">
        <v>2299</v>
      </c>
      <c r="C22" s="140"/>
      <c r="D22" s="286">
        <f>'Allocation ProForma'!H706</f>
        <v>7602696.6826970316</v>
      </c>
      <c r="E22" s="276">
        <f t="shared" ref="E22:J22" si="4">(E14/$D$14)*$D$22</f>
        <v>4650614.9617146505</v>
      </c>
      <c r="F22" s="276">
        <f t="shared" si="4"/>
        <v>121379.53869448217</v>
      </c>
      <c r="G22" s="276">
        <f t="shared" si="4"/>
        <v>616092.06745624612</v>
      </c>
      <c r="H22" s="276">
        <f t="shared" si="4"/>
        <v>854247.92828070233</v>
      </c>
      <c r="I22" s="276">
        <f t="shared" si="4"/>
        <v>1331456.5922600348</v>
      </c>
      <c r="J22" s="276">
        <f t="shared" si="4"/>
        <v>28905.594290914021</v>
      </c>
      <c r="K22" s="294">
        <f>SUM(E22:J22)</f>
        <v>7602696.6826970298</v>
      </c>
      <c r="L22" s="154" t="str">
        <f>IF(ABS(K22-D22)&lt;0.01,"ok","err")</f>
        <v>ok</v>
      </c>
    </row>
    <row r="23" spans="1:12" x14ac:dyDescent="0.25">
      <c r="A23" s="122"/>
      <c r="B23" s="123"/>
      <c r="C23" s="141"/>
      <c r="D23" s="287"/>
      <c r="E23" s="186"/>
      <c r="F23" s="186"/>
      <c r="G23" s="186"/>
      <c r="H23" s="186"/>
      <c r="I23" s="186"/>
      <c r="J23" s="186"/>
      <c r="K23" s="294"/>
      <c r="L23" s="155"/>
    </row>
    <row r="24" spans="1:12" x14ac:dyDescent="0.25">
      <c r="A24" s="125" t="s">
        <v>1665</v>
      </c>
      <c r="B24" s="123" t="s">
        <v>248</v>
      </c>
      <c r="C24" s="140"/>
      <c r="D24" s="286">
        <f>D20-D22</f>
        <v>34390415.294640929</v>
      </c>
      <c r="E24" s="276">
        <f t="shared" ref="E24:J24" si="5">E20-E22</f>
        <v>21036822.40445511</v>
      </c>
      <c r="F24" s="276">
        <f t="shared" si="5"/>
        <v>549054.22617680486</v>
      </c>
      <c r="G24" s="276">
        <f t="shared" si="5"/>
        <v>2786861.4182353504</v>
      </c>
      <c r="H24" s="276">
        <f t="shared" si="5"/>
        <v>3864147.4524455532</v>
      </c>
      <c r="I24" s="276">
        <f t="shared" si="5"/>
        <v>6022776.7942948323</v>
      </c>
      <c r="J24" s="276">
        <f t="shared" si="5"/>
        <v>130752.99903327067</v>
      </c>
      <c r="K24" s="294">
        <f>SUM(E24:J24)</f>
        <v>34390415.294640921</v>
      </c>
      <c r="L24" s="154" t="str">
        <f>IF(ABS(K24-D24)&lt;0.01,"ok","err")</f>
        <v>ok</v>
      </c>
    </row>
    <row r="25" spans="1:12" x14ac:dyDescent="0.25">
      <c r="A25" s="122"/>
      <c r="B25" s="123"/>
      <c r="C25" s="141"/>
      <c r="D25" s="287"/>
      <c r="E25" s="186"/>
      <c r="F25" s="186"/>
      <c r="G25" s="186"/>
      <c r="H25" s="186"/>
      <c r="I25" s="186"/>
      <c r="J25" s="186"/>
      <c r="K25" s="294"/>
      <c r="L25" s="155"/>
    </row>
    <row r="26" spans="1:12" x14ac:dyDescent="0.25">
      <c r="A26" s="125" t="s">
        <v>1666</v>
      </c>
      <c r="B26" s="123" t="s">
        <v>660</v>
      </c>
      <c r="C26" s="141"/>
      <c r="D26" s="286">
        <f>'Allocation ProForma'!H820+'Allocation ProForma'!H1084</f>
        <v>22604682.12666817</v>
      </c>
      <c r="E26" s="276">
        <f t="shared" ref="E26:J26" si="6">$D$26*(E24/$K$24)</f>
        <v>13827419.044921542</v>
      </c>
      <c r="F26" s="276">
        <f t="shared" si="6"/>
        <v>360891.14210157527</v>
      </c>
      <c r="G26" s="276">
        <f t="shared" si="6"/>
        <v>1831792.8396782826</v>
      </c>
      <c r="H26" s="276">
        <f t="shared" si="6"/>
        <v>2539888.6318979058</v>
      </c>
      <c r="I26" s="276">
        <f t="shared" si="6"/>
        <v>3958747.0458992519</v>
      </c>
      <c r="J26" s="276">
        <f t="shared" si="6"/>
        <v>85943.422169612808</v>
      </c>
      <c r="K26" s="294">
        <f>SUM(E26:J26)</f>
        <v>22604682.12666817</v>
      </c>
      <c r="L26" s="154" t="str">
        <f>IF(ABS(K26-D26)&lt;0.01,"ok","err")</f>
        <v>ok</v>
      </c>
    </row>
    <row r="27" spans="1:12" x14ac:dyDescent="0.25">
      <c r="A27" s="122"/>
      <c r="B27" s="123"/>
      <c r="C27" s="141"/>
      <c r="D27" s="287"/>
      <c r="E27" s="186"/>
      <c r="F27" s="186"/>
      <c r="G27" s="186"/>
      <c r="H27" s="186"/>
      <c r="I27" s="186"/>
      <c r="J27" s="186"/>
      <c r="K27" s="294"/>
      <c r="L27" s="155"/>
    </row>
    <row r="28" spans="1:12" x14ac:dyDescent="0.25">
      <c r="A28" s="125" t="s">
        <v>1667</v>
      </c>
      <c r="B28" s="123" t="s">
        <v>945</v>
      </c>
      <c r="C28" s="140"/>
      <c r="D28" s="286">
        <f>'Allocation ProForma'!H672</f>
        <v>104905177.57274917</v>
      </c>
      <c r="E28" s="276">
        <f>'Allocation ProForma'!H180+'Allocation ProForma'!H181+'Allocation ProForma'!H182</f>
        <v>10628223.697837742</v>
      </c>
      <c r="F28" s="276">
        <f>'Allocation ProForma'!H183</f>
        <v>65499953.912965789</v>
      </c>
      <c r="G28" s="276">
        <f>'Allocation ProForma'!H192</f>
        <v>3488370.5263559339</v>
      </c>
      <c r="H28" s="276">
        <f>'Allocation ProForma'!H198+'Allocation ProForma'!H202+'Allocation ProForma'!H204+'Allocation ProForma'!H209</f>
        <v>4331742.266517926</v>
      </c>
      <c r="I28" s="276">
        <f>'Allocation ProForma'!H203+'Allocation ProForma'!H205+'Allocation ProForma'!H210+'Allocation ProForma'!H214+'Allocation ProForma'!H217</f>
        <v>7464992.058018554</v>
      </c>
      <c r="J28" s="276">
        <f>'Allocation ProForma'!H223+'Allocation ProForma'!H226</f>
        <v>13491895.111053236</v>
      </c>
      <c r="K28" s="294">
        <f>SUM(E28:J28)</f>
        <v>104905177.57274917</v>
      </c>
      <c r="L28" s="154" t="str">
        <f>IF(ABS(K28-D28)&lt;0.01,"ok","err")</f>
        <v>ok</v>
      </c>
    </row>
    <row r="29" spans="1:12" x14ac:dyDescent="0.25">
      <c r="A29" s="125" t="s">
        <v>2300</v>
      </c>
      <c r="B29" s="123" t="s">
        <v>1040</v>
      </c>
      <c r="C29" s="140"/>
      <c r="D29" s="286">
        <f>'Allocation ProForma'!H673</f>
        <v>21121073.846467357</v>
      </c>
      <c r="E29" s="276">
        <f>'Allocation ProForma'!H300</f>
        <v>14241982.753106419</v>
      </c>
      <c r="F29" s="276">
        <v>0</v>
      </c>
      <c r="G29" s="276">
        <f>'Allocation ProForma'!H306</f>
        <v>1229845.3137029288</v>
      </c>
      <c r="H29" s="276">
        <f>'Allocation ProForma'!H312+'Allocation ProForma'!H316+'Allocation ProForma'!H318+'Allocation ProForma'!H323</f>
        <v>2209748.754880649</v>
      </c>
      <c r="I29" s="276">
        <f>'Allocation ProForma'!H317+'Allocation ProForma'!H319+'Allocation ProForma'!H324+'Allocation ProForma'!H328+'Allocation ProForma'!H331</f>
        <v>3439497.024777364</v>
      </c>
      <c r="J29" s="276">
        <v>0</v>
      </c>
      <c r="K29" s="294">
        <f>SUM(E29:J29)</f>
        <v>21121073.846467361</v>
      </c>
      <c r="L29" s="154" t="str">
        <f>IF(ABS(K29-D29)&lt;0.01,"ok","err")</f>
        <v>ok</v>
      </c>
    </row>
    <row r="30" spans="1:12" x14ac:dyDescent="0.25">
      <c r="A30" s="125" t="s">
        <v>2301</v>
      </c>
      <c r="B30" s="123" t="s">
        <v>521</v>
      </c>
      <c r="C30" s="140"/>
      <c r="D30" s="286">
        <f>'Allocation ProForma'!H675+'Allocation ProForma'!H676+'Allocation ProForma'!H677+'Allocation ProForma'!H674</f>
        <v>2968289.268885633</v>
      </c>
      <c r="E30" s="276">
        <f>'Allocation ProForma'!H414+'Allocation ProForma'!H471+'Allocation ProForma'!H357</f>
        <v>1697782.3419047978</v>
      </c>
      <c r="F30" s="276">
        <f>'Allocation ProForma'!H529</f>
        <v>-82.127591063473105</v>
      </c>
      <c r="G30" s="276">
        <f>'Allocation ProForma'!H420+'Allocation ProForma'!H477+'Allocation ProForma'!H363</f>
        <v>300131.17467830266</v>
      </c>
      <c r="H30" s="276">
        <f>'Allocation ProForma'!H426+'Allocation ProForma'!H430+'Allocation ProForma'!H432+'Allocation ProForma'!H437+'Allocation ProForma'!H483+'Allocation ProForma'!H487+'Allocation ProForma'!H489+'Allocation ProForma'!H494+'Allocation ProForma'!H369+'Allocation ProForma'!H373+'Allocation ProForma'!H375+'Allocation ProForma'!H380</f>
        <v>379602.5479154858</v>
      </c>
      <c r="I30" s="276">
        <f>'Allocation ProForma'!H431+'Allocation ProForma'!H433+'Allocation ProForma'!H438+'Allocation ProForma'!H442+'Allocation ProForma'!H445+'Allocation ProForma'!H488+'Allocation ProForma'!H490+'Allocation ProForma'!H495+'Allocation ProForma'!H499+'Allocation ProForma'!H502+'Allocation ProForma'!H374+'Allocation ProForma'!H376+'Allocation ProForma'!H381+'Allocation ProForma'!H385+'Allocation ProForma'!H388</f>
        <v>590855.33197810955</v>
      </c>
      <c r="J30" s="276">
        <v>0</v>
      </c>
      <c r="K30" s="294">
        <f>SUM(E30:J30)</f>
        <v>2968289.2688856325</v>
      </c>
      <c r="L30" s="154" t="str">
        <f>IF(ABS(K30-D30)&lt;0.01,"ok","err")</f>
        <v>ok</v>
      </c>
    </row>
    <row r="31" spans="1:12" x14ac:dyDescent="0.25">
      <c r="A31" s="125" t="s">
        <v>2302</v>
      </c>
      <c r="B31" s="158" t="s">
        <v>2338</v>
      </c>
      <c r="C31" s="140"/>
      <c r="D31" s="286">
        <f>'Allocation ProForma'!H680</f>
        <v>700281.16375136469</v>
      </c>
      <c r="E31" s="276">
        <f>D31</f>
        <v>700281.16375136469</v>
      </c>
      <c r="F31" s="276"/>
      <c r="G31" s="276"/>
      <c r="H31" s="276"/>
      <c r="I31" s="276"/>
      <c r="J31" s="276"/>
      <c r="K31" s="294">
        <f>SUM(E31:J31)</f>
        <v>700281.16375136469</v>
      </c>
      <c r="L31" s="154" t="str">
        <f>IF(ABS(K31-D31)&lt;0.01,"ok","err")</f>
        <v>ok</v>
      </c>
    </row>
    <row r="32" spans="1:12" x14ac:dyDescent="0.25">
      <c r="A32" s="125" t="s">
        <v>2303</v>
      </c>
      <c r="B32" s="158" t="s">
        <v>2320</v>
      </c>
      <c r="C32" s="140"/>
      <c r="D32" s="286">
        <f>'Allocation ProForma'!H826</f>
        <v>-1641705.8934442773</v>
      </c>
      <c r="E32" s="276">
        <f>D32</f>
        <v>-1641705.8934442773</v>
      </c>
      <c r="F32" s="276">
        <v>0</v>
      </c>
      <c r="G32" s="276">
        <v>0</v>
      </c>
      <c r="H32" s="276">
        <v>0</v>
      </c>
      <c r="I32" s="276">
        <v>0</v>
      </c>
      <c r="J32" s="276">
        <v>0</v>
      </c>
      <c r="K32" s="294">
        <f>SUM(E32:J32)</f>
        <v>-1641705.8934442773</v>
      </c>
      <c r="L32" s="154" t="str">
        <f t="shared" ref="L32:L38" si="7">IF(ABS(K32-D32)&lt;0.01,"ok","err")</f>
        <v>ok</v>
      </c>
    </row>
    <row r="33" spans="1:12" x14ac:dyDescent="0.25">
      <c r="A33" s="125" t="s">
        <v>2305</v>
      </c>
      <c r="B33" s="158" t="s">
        <v>2319</v>
      </c>
      <c r="C33" s="140"/>
      <c r="D33" s="286">
        <f>'Allocation ProForma'!H825+'Allocation ProForma'!H828+'Allocation ProForma'!H829</f>
        <v>-1653507.844965213</v>
      </c>
      <c r="E33" s="276">
        <v>0</v>
      </c>
      <c r="F33" s="276">
        <f>D33</f>
        <v>-1653507.844965213</v>
      </c>
      <c r="G33" s="276">
        <v>0</v>
      </c>
      <c r="H33" s="276">
        <v>0</v>
      </c>
      <c r="I33" s="276">
        <v>0</v>
      </c>
      <c r="J33" s="276">
        <v>0</v>
      </c>
      <c r="K33" s="294">
        <f t="shared" ref="K33:K38" si="8">SUM(E33:J33)</f>
        <v>-1653507.844965213</v>
      </c>
      <c r="L33" s="154" t="str">
        <f t="shared" si="7"/>
        <v>ok</v>
      </c>
    </row>
    <row r="34" spans="1:12" x14ac:dyDescent="0.25">
      <c r="A34" s="125" t="s">
        <v>2306</v>
      </c>
      <c r="B34" s="123" t="s">
        <v>2323</v>
      </c>
      <c r="C34" s="140"/>
      <c r="D34" s="286">
        <f>'Allocation ProForma'!H839+'Allocation ProForma'!H842</f>
        <v>-567348.95545028942</v>
      </c>
      <c r="E34" s="276">
        <v>0</v>
      </c>
      <c r="F34" s="276">
        <v>0</v>
      </c>
      <c r="G34" s="276">
        <f>D34</f>
        <v>-567348.95545028942</v>
      </c>
      <c r="H34" s="276">
        <v>0</v>
      </c>
      <c r="I34" s="276">
        <v>0</v>
      </c>
      <c r="J34" s="276">
        <v>0</v>
      </c>
      <c r="K34" s="294">
        <f t="shared" si="8"/>
        <v>-567348.95545028942</v>
      </c>
      <c r="L34" s="154" t="str">
        <f t="shared" si="7"/>
        <v>ok</v>
      </c>
    </row>
    <row r="35" spans="1:12" x14ac:dyDescent="0.25">
      <c r="A35" s="125" t="s">
        <v>2308</v>
      </c>
      <c r="B35" s="123" t="s">
        <v>2321</v>
      </c>
      <c r="C35" s="140"/>
      <c r="D35" s="286">
        <f>'Allocation ProForma'!H830+'Allocation ProForma'!H837</f>
        <v>-2883007.6961230724</v>
      </c>
      <c r="E35" s="276">
        <v>0</v>
      </c>
      <c r="F35" s="276">
        <v>0</v>
      </c>
      <c r="G35" s="276">
        <v>0</v>
      </c>
      <c r="H35" s="276">
        <f>(H14/($I$14+$H$14)*$D$35)</f>
        <v>-1126777.8093907975</v>
      </c>
      <c r="I35" s="276">
        <f>(I14/($I$14+$H$14)*$D$35)</f>
        <v>-1756229.8867322747</v>
      </c>
      <c r="J35" s="276">
        <v>0</v>
      </c>
      <c r="K35" s="294">
        <f t="shared" si="8"/>
        <v>-2883007.6961230719</v>
      </c>
      <c r="L35" s="154" t="str">
        <f t="shared" si="7"/>
        <v>ok</v>
      </c>
    </row>
    <row r="36" spans="1:12" x14ac:dyDescent="0.25">
      <c r="A36" s="159" t="s">
        <v>2310</v>
      </c>
      <c r="B36" s="123" t="s">
        <v>2322</v>
      </c>
      <c r="C36" s="140"/>
      <c r="D36" s="286">
        <f>'Allocation ProForma'!H831+'Allocation ProForma'!H832+'Allocation ProForma'!H833+'Allocation ProForma'!H834+'Allocation ProForma'!H835+'Allocation ProForma'!H836+'Allocation ProForma'!H838+'Allocation ProForma'!H840+'Allocation ProForma'!H841+'Allocation ProForma'!H843+'Allocation ProForma'!H844+'Allocation ProForma'!H845+'Allocation ProForma'!H846+'Allocation ProForma'!H847</f>
        <v>-1655661.2356257609</v>
      </c>
      <c r="E36" s="276">
        <f t="shared" ref="E36:J36" si="9">(E14/($D$14)*$D$36)</f>
        <v>-1012777.8649194557</v>
      </c>
      <c r="F36" s="276">
        <f t="shared" si="9"/>
        <v>-26433.17304397577</v>
      </c>
      <c r="G36" s="276">
        <f t="shared" si="9"/>
        <v>-134168.15062283695</v>
      </c>
      <c r="H36" s="276">
        <f t="shared" si="9"/>
        <v>-186032.04093185521</v>
      </c>
      <c r="I36" s="276">
        <f t="shared" si="9"/>
        <v>-289955.15127420495</v>
      </c>
      <c r="J36" s="276">
        <f t="shared" si="9"/>
        <v>-6294.854833431843</v>
      </c>
      <c r="K36" s="294">
        <f t="shared" si="8"/>
        <v>-1655661.2356257602</v>
      </c>
      <c r="L36" s="154" t="str">
        <f t="shared" si="7"/>
        <v>ok</v>
      </c>
    </row>
    <row r="37" spans="1:12" x14ac:dyDescent="0.25">
      <c r="A37" s="125"/>
      <c r="B37" s="123"/>
      <c r="D37" s="286"/>
      <c r="E37" s="276"/>
      <c r="F37" s="276"/>
      <c r="G37" s="276"/>
      <c r="H37" s="276"/>
      <c r="I37" s="276"/>
      <c r="J37" s="276"/>
      <c r="K37" s="294"/>
      <c r="L37" s="154"/>
    </row>
    <row r="38" spans="1:12" x14ac:dyDescent="0.25">
      <c r="A38" s="125" t="s">
        <v>2324</v>
      </c>
      <c r="B38" s="123" t="s">
        <v>2329</v>
      </c>
      <c r="C38" s="140"/>
      <c r="D38" s="286">
        <f>'Allocation ProForma'!H848</f>
        <v>-8401231.6256086137</v>
      </c>
      <c r="E38" s="276">
        <f>SUM(E32:E36)</f>
        <v>-2654483.7583637331</v>
      </c>
      <c r="F38" s="276">
        <f>SUM(F33:F36)</f>
        <v>-1679941.0180091888</v>
      </c>
      <c r="G38" s="276">
        <f>SUM(G32:G36)</f>
        <v>-701517.10607312643</v>
      </c>
      <c r="H38" s="276">
        <f>SUM(H32:H36)</f>
        <v>-1312809.8503226526</v>
      </c>
      <c r="I38" s="276">
        <f>SUM(I32:I36)</f>
        <v>-2046185.0380064796</v>
      </c>
      <c r="J38" s="276">
        <f>SUM(J32:J36)</f>
        <v>-6294.854833431843</v>
      </c>
      <c r="K38" s="294">
        <f t="shared" si="8"/>
        <v>-8401231.6256086119</v>
      </c>
      <c r="L38" s="154" t="str">
        <f t="shared" si="7"/>
        <v>ok</v>
      </c>
    </row>
    <row r="39" spans="1:12" x14ac:dyDescent="0.25">
      <c r="A39" s="122"/>
      <c r="B39" s="123"/>
      <c r="C39" s="141"/>
      <c r="D39" s="289"/>
      <c r="E39" s="186"/>
      <c r="F39" s="186"/>
      <c r="G39" s="186"/>
      <c r="H39" s="186"/>
      <c r="I39" s="186"/>
      <c r="J39" s="186"/>
      <c r="K39" s="264"/>
      <c r="L39" s="155"/>
    </row>
    <row r="40" spans="1:12" x14ac:dyDescent="0.25">
      <c r="A40" s="125" t="s">
        <v>2325</v>
      </c>
      <c r="B40" s="123" t="s">
        <v>2304</v>
      </c>
      <c r="C40" s="157">
        <f>'Allocation ProForma'!H1028</f>
        <v>185158839.043569</v>
      </c>
      <c r="D40" s="286">
        <f>SUM(D28:D31)+D22+D26+D38+D24</f>
        <v>185891384.33025101</v>
      </c>
      <c r="E40" s="276">
        <f t="shared" ref="E40:J40" si="10">SUM(E28:E31)+E22+E26+E38+E24</f>
        <v>64128642.609327897</v>
      </c>
      <c r="F40" s="276">
        <f t="shared" si="10"/>
        <v>64851255.6743384</v>
      </c>
      <c r="G40" s="276">
        <f t="shared" si="10"/>
        <v>9551576.2340339199</v>
      </c>
      <c r="H40" s="276">
        <f t="shared" si="10"/>
        <v>12866567.731615569</v>
      </c>
      <c r="I40" s="276">
        <f t="shared" si="10"/>
        <v>20762139.809221666</v>
      </c>
      <c r="J40" s="276">
        <f t="shared" si="10"/>
        <v>13731202.271713601</v>
      </c>
      <c r="K40" s="294">
        <f>SUM(E40:J40)</f>
        <v>185891384.33025107</v>
      </c>
      <c r="L40" s="154" t="str">
        <f>IF(ABS(K40-D40)&lt;0.01,"ok","err")</f>
        <v>ok</v>
      </c>
    </row>
    <row r="41" spans="1:12" x14ac:dyDescent="0.25">
      <c r="A41" s="122"/>
      <c r="B41" s="123"/>
      <c r="C41" s="141"/>
      <c r="D41" s="290"/>
      <c r="E41" s="186"/>
      <c r="F41" s="186"/>
      <c r="G41" s="186"/>
      <c r="H41" s="186"/>
      <c r="I41" s="186"/>
      <c r="J41" s="186"/>
      <c r="K41" s="264"/>
      <c r="L41" s="155"/>
    </row>
    <row r="42" spans="1:12" x14ac:dyDescent="0.25">
      <c r="A42" s="125" t="s">
        <v>2326</v>
      </c>
      <c r="B42" s="158" t="s">
        <v>2347</v>
      </c>
      <c r="C42" s="140"/>
      <c r="D42" s="286">
        <f>-'Allocation ProForma'!H661</f>
        <v>-1229919.2339908814</v>
      </c>
      <c r="E42" s="276"/>
      <c r="F42" s="276">
        <v>0</v>
      </c>
      <c r="G42" s="276">
        <f>D42</f>
        <v>-1229919.2339908814</v>
      </c>
      <c r="H42" s="276">
        <v>0</v>
      </c>
      <c r="I42" s="276">
        <v>0</v>
      </c>
      <c r="J42" s="276">
        <v>0</v>
      </c>
      <c r="K42" s="294">
        <f>SUM(E42:J42)</f>
        <v>-1229919.2339908814</v>
      </c>
      <c r="L42" s="154" t="str">
        <f>IF(ABS(K42-D42)&lt;0.01,"ok","err")</f>
        <v>ok</v>
      </c>
    </row>
    <row r="43" spans="1:12" x14ac:dyDescent="0.25">
      <c r="A43" s="125" t="s">
        <v>2327</v>
      </c>
      <c r="B43" s="123" t="s">
        <v>2330</v>
      </c>
      <c r="C43" s="140"/>
      <c r="D43" s="286">
        <f>-('Allocation ProForma'!H654+'Allocation ProForma'!H655+'Allocation ProForma'!H656)</f>
        <v>-3075377.7284863829</v>
      </c>
      <c r="E43" s="276">
        <v>0</v>
      </c>
      <c r="F43" s="276">
        <f>D43</f>
        <v>-3075377.7284863829</v>
      </c>
      <c r="G43" s="276">
        <v>0</v>
      </c>
      <c r="H43" s="276">
        <v>0</v>
      </c>
      <c r="I43" s="276">
        <v>0</v>
      </c>
      <c r="J43" s="276">
        <v>0</v>
      </c>
      <c r="K43" s="294">
        <f>SUM(E43:J43)</f>
        <v>-3075377.7284863829</v>
      </c>
      <c r="L43" s="154" t="str">
        <f>IF(ABS(K43-D43)&lt;0.01,"ok","err")</f>
        <v>ok</v>
      </c>
    </row>
    <row r="44" spans="1:12" x14ac:dyDescent="0.25">
      <c r="A44" s="125" t="s">
        <v>2328</v>
      </c>
      <c r="B44" s="123" t="s">
        <v>2331</v>
      </c>
      <c r="C44" s="140"/>
      <c r="D44" s="286">
        <f>-('Allocation ProForma'!H652+'Allocation ProForma'!H653+'Allocation ProForma'!H657+'Allocation ProForma'!H658+'Allocation ProForma'!H659+'Allocation ProForma'!H660+'Allocation ProForma'!H662+'Allocation ProForma'!H663+'Allocation ProForma'!H664+'Allocation ProForma'!H665+'Allocation ProForma'!H666)</f>
        <v>-1479670.4045779202</v>
      </c>
      <c r="E44" s="276">
        <f t="shared" ref="E44:J44" si="11">(E14/($D$14)*$D$44)</f>
        <v>-905123.22260570561</v>
      </c>
      <c r="F44" s="276">
        <f t="shared" si="11"/>
        <v>-23623.421875595941</v>
      </c>
      <c r="G44" s="276">
        <f t="shared" si="11"/>
        <v>-119906.55904831379</v>
      </c>
      <c r="H44" s="276">
        <f t="shared" si="11"/>
        <v>-166257.50446229236</v>
      </c>
      <c r="I44" s="276">
        <f t="shared" si="11"/>
        <v>-259133.96216780966</v>
      </c>
      <c r="J44" s="276">
        <f t="shared" si="11"/>
        <v>-5625.734418202409</v>
      </c>
      <c r="K44" s="294">
        <f>SUM(E44:J44)</f>
        <v>-1479670.40457792</v>
      </c>
      <c r="L44" s="154" t="str">
        <f>IF(ABS(K44-D44)&lt;0.01,"ok","err")</f>
        <v>ok</v>
      </c>
    </row>
    <row r="45" spans="1:12" x14ac:dyDescent="0.25">
      <c r="A45" s="125" t="s">
        <v>2332</v>
      </c>
      <c r="B45" s="123" t="s">
        <v>2334</v>
      </c>
      <c r="C45" s="140"/>
      <c r="D45" s="286">
        <f>SUM(D42:D44)</f>
        <v>-5784967.3670551842</v>
      </c>
      <c r="E45" s="276">
        <f t="shared" ref="E45:J45" si="12">SUM(E42:E44)</f>
        <v>-905123.22260570561</v>
      </c>
      <c r="F45" s="276">
        <f t="shared" si="12"/>
        <v>-3099001.1503619789</v>
      </c>
      <c r="G45" s="276">
        <f t="shared" si="12"/>
        <v>-1349825.7930391952</v>
      </c>
      <c r="H45" s="276">
        <f t="shared" si="12"/>
        <v>-166257.50446229236</v>
      </c>
      <c r="I45" s="276">
        <f t="shared" si="12"/>
        <v>-259133.96216780966</v>
      </c>
      <c r="J45" s="276">
        <f t="shared" si="12"/>
        <v>-5625.734418202409</v>
      </c>
      <c r="K45" s="294">
        <f>SUM(E45:J45)</f>
        <v>-5784967.3670551842</v>
      </c>
      <c r="L45" s="154" t="str">
        <f>IF(ABS(K45-D45)&lt;0.01,"ok","err")</f>
        <v>ok</v>
      </c>
    </row>
    <row r="46" spans="1:12" x14ac:dyDescent="0.25">
      <c r="A46" s="122"/>
      <c r="B46" s="123"/>
      <c r="D46" s="287"/>
      <c r="E46" s="186"/>
      <c r="F46" s="186"/>
      <c r="G46" s="186"/>
      <c r="H46" s="186"/>
      <c r="I46" s="186"/>
      <c r="J46" s="186"/>
      <c r="K46" s="264"/>
      <c r="L46" s="155"/>
    </row>
    <row r="47" spans="1:12" x14ac:dyDescent="0.25">
      <c r="A47" s="125" t="s">
        <v>2333</v>
      </c>
      <c r="B47" s="123" t="s">
        <v>2307</v>
      </c>
      <c r="C47" s="39">
        <f>'Allocation ProForma'!H1028-SUM('Allocation ProForma'!H652:H666)</f>
        <v>179373871.67651382</v>
      </c>
      <c r="D47" s="286">
        <f>D40+D45</f>
        <v>180106416.96319583</v>
      </c>
      <c r="E47" s="276">
        <f t="shared" ref="E47:J47" si="13">E40+E45</f>
        <v>63223519.386722192</v>
      </c>
      <c r="F47" s="276">
        <f t="shared" si="13"/>
        <v>61752254.523976423</v>
      </c>
      <c r="G47" s="276">
        <f t="shared" si="13"/>
        <v>8201750.4409947246</v>
      </c>
      <c r="H47" s="276">
        <f t="shared" si="13"/>
        <v>12700310.227153277</v>
      </c>
      <c r="I47" s="276">
        <f t="shared" si="13"/>
        <v>20503005.847053856</v>
      </c>
      <c r="J47" s="276">
        <f t="shared" si="13"/>
        <v>13725576.537295399</v>
      </c>
      <c r="K47" s="294">
        <f>SUM(E47:J47)</f>
        <v>180106416.96319589</v>
      </c>
      <c r="L47" s="154" t="str">
        <f>IF(ABS(K47-D47)&lt;0.01,"ok","err")</f>
        <v>ok</v>
      </c>
    </row>
    <row r="48" spans="1:12" x14ac:dyDescent="0.25">
      <c r="A48" s="122"/>
      <c r="B48" s="123"/>
      <c r="C48" s="141"/>
      <c r="D48" s="289"/>
      <c r="E48" s="186"/>
      <c r="F48" s="186"/>
      <c r="G48" s="186"/>
      <c r="H48" s="186"/>
      <c r="I48" s="186"/>
      <c r="J48" s="186"/>
      <c r="K48" s="264"/>
      <c r="L48" s="155"/>
    </row>
    <row r="49" spans="1:12" x14ac:dyDescent="0.25">
      <c r="A49" s="125" t="s">
        <v>2339</v>
      </c>
      <c r="B49" s="123" t="s">
        <v>2309</v>
      </c>
      <c r="C49" s="140"/>
      <c r="D49" s="291"/>
      <c r="E49" s="281">
        <f>'Allocation ProForma'!$H$1121</f>
        <v>1902668718</v>
      </c>
      <c r="F49" s="281">
        <f>'Allocation ProForma'!$H$1121</f>
        <v>1902668718</v>
      </c>
      <c r="G49" s="281">
        <f>'Allocation ProForma'!$H$1121</f>
        <v>1902668718</v>
      </c>
      <c r="H49" s="281">
        <f>'Allocation ProForma'!$H$1121</f>
        <v>1902668718</v>
      </c>
      <c r="I49" s="281">
        <f>'Allocation ProForma'!$H$1136*12</f>
        <v>984828</v>
      </c>
      <c r="J49" s="281">
        <f>'Allocation ProForma'!$H$1136*12</f>
        <v>984828</v>
      </c>
      <c r="K49" s="264"/>
      <c r="L49" s="155"/>
    </row>
    <row r="50" spans="1:12" ht="15.75" thickBot="1" x14ac:dyDescent="0.3">
      <c r="A50" s="122"/>
      <c r="B50" s="123"/>
      <c r="C50" s="141"/>
      <c r="D50" s="287"/>
      <c r="E50" s="186"/>
      <c r="F50" s="186"/>
      <c r="G50" s="186"/>
      <c r="H50" s="186"/>
      <c r="I50" s="186"/>
      <c r="J50" s="186"/>
      <c r="K50" s="264"/>
      <c r="L50" s="155"/>
    </row>
    <row r="51" spans="1:12" ht="15.75" thickBot="1" x14ac:dyDescent="0.3">
      <c r="A51" s="127" t="s">
        <v>2340</v>
      </c>
      <c r="B51" s="128" t="s">
        <v>2311</v>
      </c>
      <c r="C51" s="142"/>
      <c r="D51" s="292"/>
      <c r="E51" s="282">
        <f t="shared" ref="E51:J51" si="14">E47/E49</f>
        <v>3.3228863642210886E-2</v>
      </c>
      <c r="F51" s="282">
        <f t="shared" si="14"/>
        <v>3.2455599831844414E-2</v>
      </c>
      <c r="G51" s="282">
        <f t="shared" si="14"/>
        <v>4.3106560608280964E-3</v>
      </c>
      <c r="H51" s="282">
        <f t="shared" si="14"/>
        <v>6.6749981786126556E-3</v>
      </c>
      <c r="I51" s="283">
        <f>I47/I49</f>
        <v>20.818869738729866</v>
      </c>
      <c r="J51" s="283">
        <f t="shared" si="14"/>
        <v>13.937029143459974</v>
      </c>
      <c r="K51" s="293">
        <f>I51+J51</f>
        <v>34.75589888218984</v>
      </c>
      <c r="L51" s="156"/>
    </row>
    <row r="53" spans="1:12" x14ac:dyDescent="0.25">
      <c r="J53" s="163" t="s">
        <v>2349</v>
      </c>
      <c r="K53" s="267">
        <f>I51+J51</f>
        <v>34.75589888218984</v>
      </c>
    </row>
    <row r="54" spans="1:12" x14ac:dyDescent="0.25">
      <c r="J54" s="163" t="s">
        <v>2348</v>
      </c>
      <c r="K54">
        <f>E51+F51+G51+H51</f>
        <v>7.667011771349605E-2</v>
      </c>
    </row>
    <row r="56" spans="1:12" x14ac:dyDescent="0.25">
      <c r="J56" s="163" t="s">
        <v>1754</v>
      </c>
      <c r="K56" s="268">
        <f>K53</f>
        <v>34.75589888218984</v>
      </c>
    </row>
    <row r="57" spans="1:12" ht="15.75" thickBot="1" x14ac:dyDescent="0.3">
      <c r="J57" s="163" t="s">
        <v>2800</v>
      </c>
      <c r="K57" s="269">
        <f>((I47+J47)*D18)/J49</f>
        <v>3.4655304833308174</v>
      </c>
    </row>
    <row r="58" spans="1:12" ht="15.75" thickBot="1" x14ac:dyDescent="0.3">
      <c r="K58" s="270">
        <f>SUM(K56:K57)</f>
        <v>38.221429365520656</v>
      </c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0.75" bottom="0.75" header="0.3" footer="0.3"/>
  <pageSetup scale="4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58"/>
  <sheetViews>
    <sheetView view="pageBreakPreview" zoomScale="60" zoomScaleNormal="100" workbookViewId="0">
      <selection activeCell="D26" sqref="D26"/>
    </sheetView>
  </sheetViews>
  <sheetFormatPr defaultRowHeight="15" x14ac:dyDescent="0.25"/>
  <cols>
    <col min="1" max="1" width="4.5703125" customWidth="1"/>
    <col min="2" max="2" width="41.140625" bestFit="1" customWidth="1"/>
    <col min="3" max="3" width="14.42578125" customWidth="1"/>
    <col min="4" max="4" width="22" customWidth="1"/>
    <col min="5" max="5" width="22.5703125" bestFit="1" customWidth="1"/>
    <col min="6" max="6" width="20.5703125" bestFit="1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 x14ac:dyDescent="0.25">
      <c r="A1" s="514" t="s">
        <v>1775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</row>
    <row r="2" spans="1:14" ht="15.75" x14ac:dyDescent="0.25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</row>
    <row r="3" spans="1:14" ht="15.75" x14ac:dyDescent="0.25">
      <c r="A3" s="514" t="s">
        <v>2316</v>
      </c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</row>
    <row r="4" spans="1:14" ht="15.75" x14ac:dyDescent="0.25">
      <c r="A4" s="514" t="s">
        <v>2770</v>
      </c>
      <c r="B4" s="514"/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</row>
    <row r="5" spans="1:14" ht="15.75" x14ac:dyDescent="0.25">
      <c r="A5" s="262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</row>
    <row r="6" spans="1:14" ht="15.75" x14ac:dyDescent="0.25">
      <c r="A6" s="514" t="s">
        <v>2357</v>
      </c>
      <c r="B6" s="514"/>
      <c r="C6" s="514"/>
      <c r="D6" s="514"/>
      <c r="E6" s="514"/>
      <c r="F6" s="514"/>
      <c r="G6" s="514"/>
      <c r="H6" s="514"/>
      <c r="I6" s="514"/>
      <c r="J6" s="514"/>
      <c r="K6" s="514"/>
      <c r="L6" s="514"/>
      <c r="M6" s="514"/>
      <c r="N6" s="514"/>
    </row>
    <row r="8" spans="1:14" ht="15.75" thickBot="1" x14ac:dyDescent="0.3"/>
    <row r="9" spans="1:14" ht="15.75" thickBot="1" x14ac:dyDescent="0.3">
      <c r="A9" s="129"/>
      <c r="B9" s="130"/>
      <c r="C9" s="131"/>
      <c r="D9" s="129"/>
      <c r="E9" s="515" t="s">
        <v>2312</v>
      </c>
      <c r="F9" s="516"/>
      <c r="G9" s="132" t="s">
        <v>552</v>
      </c>
      <c r="H9" s="515" t="s">
        <v>132</v>
      </c>
      <c r="I9" s="516"/>
      <c r="J9" s="259" t="s">
        <v>2317</v>
      </c>
      <c r="K9" s="131"/>
      <c r="L9" s="263"/>
    </row>
    <row r="10" spans="1:14" x14ac:dyDescent="0.25">
      <c r="A10" s="133"/>
      <c r="B10" s="134"/>
      <c r="C10" s="135"/>
      <c r="D10" s="135"/>
      <c r="E10" s="131"/>
      <c r="F10" s="131"/>
      <c r="G10" s="131"/>
      <c r="H10" s="131"/>
      <c r="I10" s="131"/>
      <c r="J10" s="129"/>
      <c r="K10" s="135"/>
      <c r="L10" s="264"/>
    </row>
    <row r="11" spans="1:14" x14ac:dyDescent="0.25">
      <c r="A11" s="133"/>
      <c r="B11" s="134"/>
      <c r="C11" s="135"/>
      <c r="D11" s="135"/>
      <c r="E11" s="135"/>
      <c r="F11" s="135"/>
      <c r="G11" s="135"/>
      <c r="H11" s="135"/>
      <c r="I11" s="135"/>
      <c r="J11" s="133"/>
      <c r="K11" s="135"/>
      <c r="L11" s="264"/>
    </row>
    <row r="12" spans="1:14" ht="15.75" thickBot="1" x14ac:dyDescent="0.3">
      <c r="A12" s="136"/>
      <c r="B12" s="265" t="s">
        <v>119</v>
      </c>
      <c r="C12" s="266" t="s">
        <v>1424</v>
      </c>
      <c r="D12" s="266" t="s">
        <v>2318</v>
      </c>
      <c r="E12" s="137" t="s">
        <v>2313</v>
      </c>
      <c r="F12" s="137" t="s">
        <v>2314</v>
      </c>
      <c r="G12" s="137" t="s">
        <v>2313</v>
      </c>
      <c r="H12" s="137" t="s">
        <v>2313</v>
      </c>
      <c r="I12" s="137" t="s">
        <v>2315</v>
      </c>
      <c r="J12" s="273" t="s">
        <v>2315</v>
      </c>
      <c r="K12" s="138" t="s">
        <v>82</v>
      </c>
      <c r="L12" s="138" t="s">
        <v>2335</v>
      </c>
    </row>
    <row r="13" spans="1:14" x14ac:dyDescent="0.25">
      <c r="A13" s="120"/>
      <c r="B13" s="121"/>
      <c r="C13" s="139"/>
      <c r="D13" s="143"/>
      <c r="E13" s="144"/>
      <c r="F13" s="144"/>
      <c r="G13" s="144"/>
      <c r="H13" s="144"/>
      <c r="I13" s="144"/>
      <c r="J13" s="144"/>
      <c r="K13" s="152"/>
      <c r="L13" s="153"/>
    </row>
    <row r="14" spans="1:14" x14ac:dyDescent="0.25">
      <c r="A14" s="124" t="s">
        <v>1425</v>
      </c>
      <c r="B14" s="123" t="s">
        <v>210</v>
      </c>
      <c r="C14" s="140"/>
      <c r="D14" s="145">
        <f>'Allocation ProForma'!I174</f>
        <v>26545088.772189468</v>
      </c>
      <c r="E14" s="278">
        <f>'Allocation ProForma'!I123+'Allocation ProForma'!I124+'Allocation ProForma'!I125</f>
        <v>18668507.535105627</v>
      </c>
      <c r="F14" s="278">
        <f>'Allocation ProForma'!I126</f>
        <v>585389.41881505563</v>
      </c>
      <c r="G14" s="278">
        <f>'Allocation ProForma'!I135</f>
        <v>2473117.9636047962</v>
      </c>
      <c r="H14" s="278">
        <f>'Allocation ProForma'!I145+'Allocation ProForma'!I147+'Allocation ProForma'!I152+'Allocation ProForma'!I141</f>
        <v>4057269.4189372361</v>
      </c>
      <c r="I14" s="278">
        <f>'Allocation ProForma'!I146+'Allocation ProForma'!I148+'Allocation ProForma'!I153+'Allocation ProForma'!I157+'Allocation ProForma'!I160+'Allocation ProForma'!I163</f>
        <v>694720.81100218045</v>
      </c>
      <c r="J14" s="278">
        <f>'Allocation ProForma'!I166+'Allocation ProForma'!I169</f>
        <v>66083.624724570982</v>
      </c>
      <c r="K14" s="275">
        <f>SUM(E14:J14)</f>
        <v>26545088.772189464</v>
      </c>
      <c r="L14" s="154" t="str">
        <f>IF(ABS(K14-D14)&lt;0.01,"ok","err")</f>
        <v>ok</v>
      </c>
    </row>
    <row r="15" spans="1:14" x14ac:dyDescent="0.25">
      <c r="A15" s="125" t="s">
        <v>1663</v>
      </c>
      <c r="B15" s="123" t="s">
        <v>2293</v>
      </c>
      <c r="C15" s="140"/>
      <c r="D15" s="145">
        <f>'Allocation ProForma'!I857+'Allocation ProForma'!I858+'Allocation ProForma'!I859</f>
        <v>-1532131.142416961</v>
      </c>
      <c r="E15" s="279">
        <f t="shared" ref="E15:J15" si="0">(E14/$D$14)*$D$15</f>
        <v>-1077510.1195723691</v>
      </c>
      <c r="F15" s="279">
        <f t="shared" si="0"/>
        <v>-33787.544155722004</v>
      </c>
      <c r="G15" s="279">
        <f t="shared" si="0"/>
        <v>-142743.58181387963</v>
      </c>
      <c r="H15" s="279">
        <f t="shared" si="0"/>
        <v>-234177.73748198253</v>
      </c>
      <c r="I15" s="279">
        <f t="shared" si="0"/>
        <v>-40097.940487460466</v>
      </c>
      <c r="J15" s="279">
        <f t="shared" si="0"/>
        <v>-3814.2189055470831</v>
      </c>
      <c r="K15" s="275">
        <f>SUM(E15:J15)</f>
        <v>-1532131.1424169608</v>
      </c>
      <c r="L15" s="154" t="str">
        <f>IF(ABS(K15-D15)&lt;0.01,"ok","err")</f>
        <v>ok</v>
      </c>
    </row>
    <row r="16" spans="1:14" x14ac:dyDescent="0.25">
      <c r="A16" s="125" t="s">
        <v>2294</v>
      </c>
      <c r="B16" s="123" t="s">
        <v>2295</v>
      </c>
      <c r="C16" s="140"/>
      <c r="D16" s="147">
        <f>D14+D15</f>
        <v>25012957.629772507</v>
      </c>
      <c r="E16" s="277">
        <f t="shared" ref="E16:K16" si="1">E14+E15</f>
        <v>17590997.41553326</v>
      </c>
      <c r="F16" s="276">
        <f t="shared" si="1"/>
        <v>551601.87465933361</v>
      </c>
      <c r="G16" s="276">
        <f t="shared" si="1"/>
        <v>2330374.3817909164</v>
      </c>
      <c r="H16" s="276">
        <f t="shared" si="1"/>
        <v>3823091.6814552536</v>
      </c>
      <c r="I16" s="276">
        <f t="shared" si="1"/>
        <v>654622.87051471998</v>
      </c>
      <c r="J16" s="276">
        <f t="shared" si="1"/>
        <v>62269.405819023901</v>
      </c>
      <c r="K16" s="275">
        <f t="shared" si="1"/>
        <v>25012957.629772503</v>
      </c>
      <c r="L16" s="154" t="str">
        <f>IF(ABS(K16-D16)&lt;0.01,"ok","err")</f>
        <v>ok</v>
      </c>
    </row>
    <row r="17" spans="1:12" x14ac:dyDescent="0.25">
      <c r="A17" s="125"/>
      <c r="B17" s="126"/>
      <c r="C17" s="141"/>
      <c r="D17" s="148"/>
      <c r="E17" s="186"/>
      <c r="F17" s="186"/>
      <c r="G17" s="186"/>
      <c r="H17" s="186"/>
      <c r="I17" s="186"/>
      <c r="J17" s="186"/>
      <c r="K17" s="275"/>
      <c r="L17" s="155"/>
    </row>
    <row r="18" spans="1:12" x14ac:dyDescent="0.25">
      <c r="A18" s="125" t="s">
        <v>2296</v>
      </c>
      <c r="B18" s="123" t="s">
        <v>534</v>
      </c>
      <c r="C18" s="140"/>
      <c r="D18" s="149">
        <f>'Allocation ProForma'!I1092</f>
        <v>8.849671336469242E-2</v>
      </c>
      <c r="E18" s="280">
        <f t="shared" ref="E18:J18" si="2">D18</f>
        <v>8.849671336469242E-2</v>
      </c>
      <c r="F18" s="280">
        <f t="shared" si="2"/>
        <v>8.849671336469242E-2</v>
      </c>
      <c r="G18" s="280">
        <f t="shared" si="2"/>
        <v>8.849671336469242E-2</v>
      </c>
      <c r="H18" s="280">
        <f t="shared" si="2"/>
        <v>8.849671336469242E-2</v>
      </c>
      <c r="I18" s="280">
        <f t="shared" si="2"/>
        <v>8.849671336469242E-2</v>
      </c>
      <c r="J18" s="280">
        <f t="shared" si="2"/>
        <v>8.849671336469242E-2</v>
      </c>
      <c r="K18" s="275"/>
      <c r="L18" s="154"/>
    </row>
    <row r="19" spans="1:12" x14ac:dyDescent="0.25">
      <c r="A19" s="122"/>
      <c r="B19" s="123"/>
      <c r="C19" s="141"/>
      <c r="D19" s="148"/>
      <c r="E19" s="186"/>
      <c r="F19" s="186"/>
      <c r="G19" s="186"/>
      <c r="H19" s="186"/>
      <c r="I19" s="186"/>
      <c r="J19" s="186"/>
      <c r="K19" s="275"/>
      <c r="L19" s="155"/>
    </row>
    <row r="20" spans="1:12" x14ac:dyDescent="0.25">
      <c r="A20" s="125" t="s">
        <v>2297</v>
      </c>
      <c r="B20" s="123" t="s">
        <v>2298</v>
      </c>
      <c r="C20" s="140"/>
      <c r="D20" s="147">
        <f>D18*D16</f>
        <v>2213564.5417651739</v>
      </c>
      <c r="E20" s="276">
        <f t="shared" ref="E20:J20" si="3">E18*E16</f>
        <v>1556745.4560814921</v>
      </c>
      <c r="F20" s="276">
        <f t="shared" si="3"/>
        <v>48814.952993154038</v>
      </c>
      <c r="G20" s="276">
        <f t="shared" si="3"/>
        <v>206230.47369777304</v>
      </c>
      <c r="H20" s="276">
        <f t="shared" si="3"/>
        <v>338331.04870068555</v>
      </c>
      <c r="I20" s="276">
        <f t="shared" si="3"/>
        <v>57931.972533913337</v>
      </c>
      <c r="J20" s="276">
        <f t="shared" si="3"/>
        <v>5510.6377581558681</v>
      </c>
      <c r="K20" s="275">
        <f>SUM(E20:J20)</f>
        <v>2213564.5417651739</v>
      </c>
      <c r="L20" s="154" t="str">
        <f>IF(ABS(K20-D20)&lt;0.01,"ok","err")</f>
        <v>ok</v>
      </c>
    </row>
    <row r="21" spans="1:12" x14ac:dyDescent="0.25">
      <c r="A21" s="122"/>
      <c r="B21" s="123"/>
      <c r="C21" s="141"/>
      <c r="D21" s="148"/>
      <c r="E21" s="186"/>
      <c r="F21" s="186"/>
      <c r="G21" s="186"/>
      <c r="H21" s="186"/>
      <c r="I21" s="186"/>
      <c r="J21" s="186"/>
      <c r="K21" s="275"/>
      <c r="L21" s="155"/>
    </row>
    <row r="22" spans="1:12" x14ac:dyDescent="0.25">
      <c r="A22" s="125" t="s">
        <v>1664</v>
      </c>
      <c r="B22" s="123" t="s">
        <v>2299</v>
      </c>
      <c r="C22" s="140"/>
      <c r="D22" s="147">
        <f>'Allocation ProForma'!I706</f>
        <v>451846.58798744023</v>
      </c>
      <c r="E22" s="276">
        <f t="shared" ref="E22:J22" si="4">(E14/$D$14)*$D$22</f>
        <v>317772.5832807431</v>
      </c>
      <c r="F22" s="276">
        <f t="shared" si="4"/>
        <v>9964.4123930242476</v>
      </c>
      <c r="G22" s="276">
        <f t="shared" si="4"/>
        <v>42097.049406593622</v>
      </c>
      <c r="H22" s="276">
        <f t="shared" si="4"/>
        <v>69062.241954648576</v>
      </c>
      <c r="I22" s="276">
        <f t="shared" si="4"/>
        <v>11825.435233958387</v>
      </c>
      <c r="J22" s="276">
        <f t="shared" si="4"/>
        <v>1124.8657184722983</v>
      </c>
      <c r="K22" s="275">
        <f>SUM(E22:J22)</f>
        <v>451846.58798744023</v>
      </c>
      <c r="L22" s="154" t="str">
        <f>IF(ABS(K22-D22)&lt;0.01,"ok","err")</f>
        <v>ok</v>
      </c>
    </row>
    <row r="23" spans="1:12" x14ac:dyDescent="0.25">
      <c r="A23" s="122"/>
      <c r="B23" s="123"/>
      <c r="C23" s="141"/>
      <c r="D23" s="148"/>
      <c r="E23" s="186"/>
      <c r="F23" s="186"/>
      <c r="G23" s="186"/>
      <c r="H23" s="186"/>
      <c r="I23" s="186"/>
      <c r="J23" s="186"/>
      <c r="K23" s="275"/>
      <c r="L23" s="155"/>
    </row>
    <row r="24" spans="1:12" x14ac:dyDescent="0.25">
      <c r="A24" s="125" t="s">
        <v>1665</v>
      </c>
      <c r="B24" s="123" t="s">
        <v>248</v>
      </c>
      <c r="C24" s="140"/>
      <c r="D24" s="147">
        <f>D20-D22</f>
        <v>1761717.9537777337</v>
      </c>
      <c r="E24" s="276">
        <f t="shared" ref="E24:J24" si="5">E20-E22</f>
        <v>1238972.872800749</v>
      </c>
      <c r="F24" s="276">
        <f t="shared" si="5"/>
        <v>38850.540600129789</v>
      </c>
      <c r="G24" s="276">
        <f t="shared" si="5"/>
        <v>164133.4242911794</v>
      </c>
      <c r="H24" s="276">
        <f t="shared" si="5"/>
        <v>269268.80674603698</v>
      </c>
      <c r="I24" s="276">
        <f t="shared" si="5"/>
        <v>46106.537299954951</v>
      </c>
      <c r="J24" s="276">
        <f t="shared" si="5"/>
        <v>4385.7720396835703</v>
      </c>
      <c r="K24" s="275">
        <f>SUM(E24:J24)</f>
        <v>1761717.9537777337</v>
      </c>
      <c r="L24" s="154" t="str">
        <f>IF(ABS(K24-D24)&lt;0.01,"ok","err")</f>
        <v>ok</v>
      </c>
    </row>
    <row r="25" spans="1:12" x14ac:dyDescent="0.25">
      <c r="A25" s="122"/>
      <c r="B25" s="123"/>
      <c r="C25" s="141"/>
      <c r="D25" s="148"/>
      <c r="E25" s="186"/>
      <c r="F25" s="186"/>
      <c r="G25" s="186"/>
      <c r="H25" s="186"/>
      <c r="I25" s="186"/>
      <c r="J25" s="186"/>
      <c r="K25" s="275"/>
      <c r="L25" s="155"/>
    </row>
    <row r="26" spans="1:12" x14ac:dyDescent="0.25">
      <c r="A26" s="125" t="s">
        <v>1666</v>
      </c>
      <c r="B26" s="123" t="s">
        <v>660</v>
      </c>
      <c r="C26" s="141"/>
      <c r="D26" s="147">
        <f>'Allocation ProForma'!I820+'Allocation ProForma'!I1084</f>
        <v>1063531.6131317965</v>
      </c>
      <c r="E26" s="276">
        <f t="shared" ref="E26:J26" si="6">$D$26*(E24/$K$24)</f>
        <v>747955.60504491627</v>
      </c>
      <c r="F26" s="276">
        <f t="shared" si="6"/>
        <v>23453.685095787674</v>
      </c>
      <c r="G26" s="276">
        <f t="shared" si="6"/>
        <v>99085.716377541685</v>
      </c>
      <c r="H26" s="276">
        <f t="shared" si="6"/>
        <v>162554.90147591307</v>
      </c>
      <c r="I26" s="276">
        <f t="shared" si="6"/>
        <v>27834.058162030291</v>
      </c>
      <c r="J26" s="276">
        <f t="shared" si="6"/>
        <v>2647.6469756074698</v>
      </c>
      <c r="K26" s="275">
        <f>SUM(E26:J26)</f>
        <v>1063531.6131317962</v>
      </c>
      <c r="L26" s="154" t="str">
        <f>IF(ABS(K26-D26)&lt;0.01,"ok","err")</f>
        <v>ok</v>
      </c>
    </row>
    <row r="27" spans="1:12" x14ac:dyDescent="0.25">
      <c r="A27" s="122"/>
      <c r="B27" s="123"/>
      <c r="C27" s="141"/>
      <c r="D27" s="148"/>
      <c r="E27" s="186"/>
      <c r="F27" s="186"/>
      <c r="G27" s="186"/>
      <c r="H27" s="186"/>
      <c r="I27" s="186"/>
      <c r="J27" s="186"/>
      <c r="K27" s="275"/>
      <c r="L27" s="155"/>
    </row>
    <row r="28" spans="1:12" x14ac:dyDescent="0.25">
      <c r="A28" s="125" t="s">
        <v>1667</v>
      </c>
      <c r="B28" s="123" t="s">
        <v>945</v>
      </c>
      <c r="C28" s="140"/>
      <c r="D28" s="147">
        <f>'Allocation ProForma'!I672</f>
        <v>7372239.2442167262</v>
      </c>
      <c r="E28" s="276">
        <f>'Allocation ProForma'!I180+'Allocation ProForma'!I181+'Allocation ProForma'!I182</f>
        <v>731054.54879445676</v>
      </c>
      <c r="F28" s="276">
        <f>'Allocation ProForma'!I183</f>
        <v>5412903.2180006849</v>
      </c>
      <c r="G28" s="276">
        <f>'Allocation ProForma'!I192</f>
        <v>239945.00056409632</v>
      </c>
      <c r="H28" s="276">
        <f>'Allocation ProForma'!I198+'Allocation ProForma'!I202+'Allocation ProForma'!I204+'Allocation ProForma'!I209</f>
        <v>372434.45249993628</v>
      </c>
      <c r="I28" s="276">
        <f>'Allocation ProForma'!I203+'Allocation ProForma'!I205+'Allocation ProForma'!I210+'Allocation ProForma'!I214+'Allocation ProForma'!I217</f>
        <v>90043.161536057596</v>
      </c>
      <c r="J28" s="276">
        <f>'Allocation ProForma'!I223+'Allocation ProForma'!I226</f>
        <v>525858.86282149458</v>
      </c>
      <c r="K28" s="275">
        <f>SUM(E28:J28)</f>
        <v>7372239.2442167262</v>
      </c>
      <c r="L28" s="154" t="str">
        <f>IF(ABS(K28-D28)&lt;0.01,"ok","err")</f>
        <v>ok</v>
      </c>
    </row>
    <row r="29" spans="1:12" x14ac:dyDescent="0.25">
      <c r="A29" s="125" t="s">
        <v>2300</v>
      </c>
      <c r="B29" s="123" t="s">
        <v>1040</v>
      </c>
      <c r="C29" s="140"/>
      <c r="D29" s="147">
        <f>'Allocation ProForma'!I673</f>
        <v>1274519.9907020095</v>
      </c>
      <c r="E29" s="276">
        <f>'Allocation ProForma'!I300</f>
        <v>979624.30708236294</v>
      </c>
      <c r="F29" s="276">
        <v>0</v>
      </c>
      <c r="G29" s="276">
        <f>'Allocation ProForma'!I306</f>
        <v>84594.005212647709</v>
      </c>
      <c r="H29" s="276">
        <f>'Allocation ProForma'!I312+'Allocation ProForma'!I316+'Allocation ProForma'!I318+'Allocation ProForma'!I323</f>
        <v>179779.53826181131</v>
      </c>
      <c r="I29" s="276">
        <f>'Allocation ProForma'!I317+'Allocation ProForma'!I319+'Allocation ProForma'!I324+'Allocation ProForma'!I328+'Allocation ProForma'!I331</f>
        <v>30522.140145187557</v>
      </c>
      <c r="J29" s="276">
        <v>0</v>
      </c>
      <c r="K29" s="275">
        <f>SUM(E29:J29)</f>
        <v>1274519.9907020093</v>
      </c>
      <c r="L29" s="154" t="str">
        <f>IF(ABS(K29-D29)&lt;0.01,"ok","err")</f>
        <v>ok</v>
      </c>
    </row>
    <row r="30" spans="1:12" x14ac:dyDescent="0.25">
      <c r="A30" s="125" t="s">
        <v>2301</v>
      </c>
      <c r="B30" s="123" t="s">
        <v>521</v>
      </c>
      <c r="C30" s="140"/>
      <c r="D30" s="147">
        <f>'Allocation ProForma'!I675+'Allocation ProForma'!I676+'Allocation ProForma'!I677+'Allocation ProForma'!I674</f>
        <v>173544.98002533009</v>
      </c>
      <c r="E30" s="276">
        <f>'Allocation ProForma'!I414+'Allocation ProForma'!I471+'Allocation ProForma'!I357</f>
        <v>116780.70947687316</v>
      </c>
      <c r="F30" s="276">
        <f>'Allocation ProForma'!I529</f>
        <v>-6.7870078587355911</v>
      </c>
      <c r="G30" s="276">
        <f>'Allocation ProForma'!I420+'Allocation ProForma'!I477+'Allocation ProForma'!I363</f>
        <v>20644.302069802612</v>
      </c>
      <c r="H30" s="276">
        <f>'Allocation ProForma'!I426+'Allocation ProForma'!I430+'Allocation ProForma'!I432+'Allocation ProForma'!I437+'Allocation ProForma'!I483+'Allocation ProForma'!I487+'Allocation ProForma'!I489+'Allocation ProForma'!I494+'Allocation ProForma'!I369+'Allocation ProForma'!I373+'Allocation ProForma'!I375+'Allocation ProForma'!I380</f>
        <v>30883.497789747198</v>
      </c>
      <c r="I30" s="276">
        <f>'Allocation ProForma'!I431+'Allocation ProForma'!I433+'Allocation ProForma'!I438+'Allocation ProForma'!I442+'Allocation ProForma'!I445+'Allocation ProForma'!I488+'Allocation ProForma'!I490+'Allocation ProForma'!I495+'Allocation ProForma'!I499+'Allocation ProForma'!I502+'Allocation ProForma'!I374+'Allocation ProForma'!I376+'Allocation ProForma'!I381+'Allocation ProForma'!I385+'Allocation ProForma'!I388</f>
        <v>5243.2576967658579</v>
      </c>
      <c r="J30" s="276">
        <v>0</v>
      </c>
      <c r="K30" s="275">
        <f>SUM(E30:J30)</f>
        <v>173544.98002533009</v>
      </c>
      <c r="L30" s="154" t="str">
        <f>IF(ABS(K30-D30)&lt;0.01,"ok","err")</f>
        <v>ok</v>
      </c>
    </row>
    <row r="31" spans="1:12" x14ac:dyDescent="0.25">
      <c r="A31" s="125" t="s">
        <v>2302</v>
      </c>
      <c r="B31" s="158" t="s">
        <v>2338</v>
      </c>
      <c r="C31" s="140"/>
      <c r="D31" s="147">
        <f>'Allocation ProForma'!I680</f>
        <v>43630.144827521675</v>
      </c>
      <c r="E31" s="276">
        <f>D31</f>
        <v>43630.144827521675</v>
      </c>
      <c r="F31" s="276"/>
      <c r="G31" s="276"/>
      <c r="H31" s="276"/>
      <c r="I31" s="276"/>
      <c r="J31" s="276"/>
      <c r="K31" s="275">
        <f>SUM(E31:J31)</f>
        <v>43630.144827521675</v>
      </c>
      <c r="L31" s="154" t="str">
        <f>IF(ABS(K31-D31)&lt;0.01,"ok","err")</f>
        <v>ok</v>
      </c>
    </row>
    <row r="32" spans="1:12" x14ac:dyDescent="0.25">
      <c r="A32" s="125" t="s">
        <v>2303</v>
      </c>
      <c r="B32" s="158" t="s">
        <v>2320</v>
      </c>
      <c r="C32" s="140"/>
      <c r="D32" s="147">
        <f>'Allocation ProForma'!I826</f>
        <v>-78629.697573710626</v>
      </c>
      <c r="E32" s="276">
        <f>D32</f>
        <v>-78629.697573710626</v>
      </c>
      <c r="F32" s="276">
        <v>0</v>
      </c>
      <c r="G32" s="276">
        <v>0</v>
      </c>
      <c r="H32" s="276">
        <v>0</v>
      </c>
      <c r="I32" s="276">
        <v>0</v>
      </c>
      <c r="J32" s="276">
        <v>0</v>
      </c>
      <c r="K32" s="275">
        <f>SUM(E32:J32)</f>
        <v>-78629.697573710626</v>
      </c>
      <c r="L32" s="154" t="str">
        <f t="shared" ref="L32:L38" si="7">IF(ABS(K32-D32)&lt;0.01,"ok","err")</f>
        <v>ok</v>
      </c>
    </row>
    <row r="33" spans="1:12" x14ac:dyDescent="0.25">
      <c r="A33" s="125" t="s">
        <v>2305</v>
      </c>
      <c r="B33" s="158" t="s">
        <v>2319</v>
      </c>
      <c r="C33" s="140"/>
      <c r="D33" s="147">
        <f>'Allocation ProForma'!I825+'Allocation ProForma'!I828+'Allocation ProForma'!I829</f>
        <v>-138212.14289619718</v>
      </c>
      <c r="E33" s="276">
        <v>0</v>
      </c>
      <c r="F33" s="276">
        <f>D33</f>
        <v>-138212.14289619718</v>
      </c>
      <c r="G33" s="276">
        <v>0</v>
      </c>
      <c r="H33" s="276">
        <v>0</v>
      </c>
      <c r="I33" s="276">
        <v>0</v>
      </c>
      <c r="J33" s="276">
        <v>0</v>
      </c>
      <c r="K33" s="275">
        <f t="shared" ref="K33:K38" si="8">SUM(E33:J33)</f>
        <v>-138212.14289619718</v>
      </c>
      <c r="L33" s="154" t="str">
        <f t="shared" si="7"/>
        <v>ok</v>
      </c>
    </row>
    <row r="34" spans="1:12" x14ac:dyDescent="0.25">
      <c r="A34" s="125" t="s">
        <v>2306</v>
      </c>
      <c r="B34" s="123" t="s">
        <v>2323</v>
      </c>
      <c r="C34" s="140"/>
      <c r="D34" s="147">
        <f>'Allocation ProForma'!I839+'Allocation ProForma'!I842</f>
        <v>-39024.680551285244</v>
      </c>
      <c r="E34" s="276">
        <v>0</v>
      </c>
      <c r="F34" s="276">
        <v>0</v>
      </c>
      <c r="G34" s="276">
        <f>D34</f>
        <v>-39024.680551285244</v>
      </c>
      <c r="H34" s="276">
        <v>0</v>
      </c>
      <c r="I34" s="276">
        <v>0</v>
      </c>
      <c r="J34" s="276">
        <v>0</v>
      </c>
      <c r="K34" s="275">
        <f t="shared" si="8"/>
        <v>-39024.680551285244</v>
      </c>
      <c r="L34" s="154" t="str">
        <f t="shared" si="7"/>
        <v>ok</v>
      </c>
    </row>
    <row r="35" spans="1:12" x14ac:dyDescent="0.25">
      <c r="A35" s="125" t="s">
        <v>2308</v>
      </c>
      <c r="B35" s="123" t="s">
        <v>2321</v>
      </c>
      <c r="C35" s="140"/>
      <c r="D35" s="147">
        <f>'Allocation ProForma'!I830+'Allocation ProForma'!I837</f>
        <v>-38699.048449595473</v>
      </c>
      <c r="E35" s="276">
        <v>0</v>
      </c>
      <c r="F35" s="276">
        <v>0</v>
      </c>
      <c r="G35" s="276">
        <v>0</v>
      </c>
      <c r="H35" s="276">
        <f>(H14/($I$14+$H$14)*$D$35)</f>
        <v>-33041.411749391569</v>
      </c>
      <c r="I35" s="276">
        <f>(I14/($I$14+$H$14)*$D$35)</f>
        <v>-5657.636700203906</v>
      </c>
      <c r="J35" s="276">
        <v>0</v>
      </c>
      <c r="K35" s="275">
        <f t="shared" si="8"/>
        <v>-38699.048449595473</v>
      </c>
      <c r="L35" s="154" t="str">
        <f t="shared" si="7"/>
        <v>ok</v>
      </c>
    </row>
    <row r="36" spans="1:12" x14ac:dyDescent="0.25">
      <c r="A36" s="159" t="s">
        <v>2310</v>
      </c>
      <c r="B36" s="123" t="s">
        <v>2322</v>
      </c>
      <c r="C36" s="140"/>
      <c r="D36" s="147">
        <f>'Allocation ProForma'!I831+'Allocation ProForma'!I832+'Allocation ProForma'!I833+'Allocation ProForma'!I834+'Allocation ProForma'!I835+'Allocation ProForma'!I836+'Allocation ProForma'!I838+'Allocation ProForma'!I840+'Allocation ProForma'!I841+'Allocation ProForma'!I843+'Allocation ProForma'!I844+'Allocation ProForma'!I845+'Allocation ProForma'!I846+'Allocation ProForma'!I847</f>
        <v>38071.173263953038</v>
      </c>
      <c r="E36" s="276">
        <f t="shared" ref="E36:J36" si="9">(E14/($D$14)*$D$36)</f>
        <v>26774.519047494497</v>
      </c>
      <c r="F36" s="276">
        <f t="shared" si="9"/>
        <v>839.57006819060416</v>
      </c>
      <c r="G36" s="276">
        <f t="shared" si="9"/>
        <v>3546.9650639569868</v>
      </c>
      <c r="H36" s="276">
        <f t="shared" si="9"/>
        <v>5818.9674313210871</v>
      </c>
      <c r="I36" s="276">
        <f t="shared" si="9"/>
        <v>996.37400321854159</v>
      </c>
      <c r="J36" s="276">
        <f t="shared" si="9"/>
        <v>94.777649771320782</v>
      </c>
      <c r="K36" s="275">
        <f t="shared" si="8"/>
        <v>38071.173263953046</v>
      </c>
      <c r="L36" s="154" t="str">
        <f t="shared" si="7"/>
        <v>ok</v>
      </c>
    </row>
    <row r="37" spans="1:12" x14ac:dyDescent="0.25">
      <c r="A37" s="125"/>
      <c r="B37" s="123"/>
      <c r="D37" s="147"/>
      <c r="E37" s="276"/>
      <c r="F37" s="276"/>
      <c r="G37" s="276"/>
      <c r="H37" s="276"/>
      <c r="I37" s="276"/>
      <c r="J37" s="276"/>
      <c r="K37" s="275"/>
      <c r="L37" s="154"/>
    </row>
    <row r="38" spans="1:12" x14ac:dyDescent="0.25">
      <c r="A38" s="125" t="s">
        <v>2324</v>
      </c>
      <c r="B38" s="123" t="s">
        <v>2329</v>
      </c>
      <c r="C38" s="140"/>
      <c r="D38" s="147">
        <f>'Allocation ProForma'!I848</f>
        <v>-256494.39620683555</v>
      </c>
      <c r="E38" s="276">
        <f>SUM(E32:E36)</f>
        <v>-51855.178526216128</v>
      </c>
      <c r="F38" s="276">
        <f>SUM(F33:F36)</f>
        <v>-137372.57282800658</v>
      </c>
      <c r="G38" s="276">
        <f>SUM(G32:G36)</f>
        <v>-35477.715487328256</v>
      </c>
      <c r="H38" s="276">
        <f>SUM(H32:H36)</f>
        <v>-27222.444318070484</v>
      </c>
      <c r="I38" s="276">
        <f>SUM(I32:I36)</f>
        <v>-4661.2626969853645</v>
      </c>
      <c r="J38" s="276">
        <f>SUM(J32:J36)</f>
        <v>94.777649771320782</v>
      </c>
      <c r="K38" s="275">
        <f t="shared" si="8"/>
        <v>-256494.39620683546</v>
      </c>
      <c r="L38" s="154" t="str">
        <f t="shared" si="7"/>
        <v>ok</v>
      </c>
    </row>
    <row r="39" spans="1:12" x14ac:dyDescent="0.25">
      <c r="A39" s="122"/>
      <c r="B39" s="123"/>
      <c r="C39" s="141"/>
      <c r="D39" s="160"/>
      <c r="E39" s="186"/>
      <c r="F39" s="186"/>
      <c r="G39" s="186"/>
      <c r="H39" s="186"/>
      <c r="I39" s="186"/>
      <c r="J39" s="186"/>
      <c r="K39" s="153"/>
      <c r="L39" s="155"/>
    </row>
    <row r="40" spans="1:12" x14ac:dyDescent="0.25">
      <c r="A40" s="125" t="s">
        <v>2325</v>
      </c>
      <c r="B40" s="123" t="s">
        <v>2304</v>
      </c>
      <c r="C40" s="157">
        <f>'Allocation ProForma'!I1028</f>
        <v>11838152.570994884</v>
      </c>
      <c r="D40" s="147">
        <f>SUM(D28:D31)+D22+D26+D38+D24</f>
        <v>11884536.118461724</v>
      </c>
      <c r="E40" s="276">
        <f t="shared" ref="E40:J40" si="10">SUM(E28:E31)+E22+E26+E38+E24</f>
        <v>4123935.5927814068</v>
      </c>
      <c r="F40" s="276">
        <f t="shared" si="10"/>
        <v>5347792.4962537605</v>
      </c>
      <c r="G40" s="276">
        <f t="shared" si="10"/>
        <v>615021.78243453312</v>
      </c>
      <c r="H40" s="276">
        <f t="shared" si="10"/>
        <v>1056760.9944100229</v>
      </c>
      <c r="I40" s="276">
        <f t="shared" si="10"/>
        <v>206913.32737696928</v>
      </c>
      <c r="J40" s="276">
        <f t="shared" si="10"/>
        <v>534111.9252050292</v>
      </c>
      <c r="K40" s="275">
        <f>SUM(E40:J40)</f>
        <v>11884536.118461723</v>
      </c>
      <c r="L40" s="154" t="str">
        <f>IF(ABS(K40-D40)&lt;0.01,"ok","err")</f>
        <v>ok</v>
      </c>
    </row>
    <row r="41" spans="1:12" x14ac:dyDescent="0.25">
      <c r="A41" s="122"/>
      <c r="B41" s="123"/>
      <c r="C41" s="141"/>
      <c r="D41" s="161"/>
      <c r="E41" s="186"/>
      <c r="F41" s="186"/>
      <c r="G41" s="186"/>
      <c r="H41" s="186"/>
      <c r="I41" s="186"/>
      <c r="J41" s="186"/>
      <c r="K41" s="153"/>
      <c r="L41" s="155"/>
    </row>
    <row r="42" spans="1:12" x14ac:dyDescent="0.25">
      <c r="A42" s="125" t="s">
        <v>2326</v>
      </c>
      <c r="B42" s="158" t="s">
        <v>2347</v>
      </c>
      <c r="C42" s="140"/>
      <c r="D42" s="147">
        <f>-'Allocation ProForma'!I661</f>
        <v>-84599.089765277749</v>
      </c>
      <c r="E42" s="276"/>
      <c r="F42" s="276">
        <v>0</v>
      </c>
      <c r="G42" s="276">
        <f>D42</f>
        <v>-84599.089765277749</v>
      </c>
      <c r="H42" s="276">
        <v>0</v>
      </c>
      <c r="I42" s="276">
        <v>0</v>
      </c>
      <c r="J42" s="276">
        <v>0</v>
      </c>
      <c r="K42" s="275">
        <f>SUM(E42:J42)</f>
        <v>-84599.089765277749</v>
      </c>
      <c r="L42" s="154" t="str">
        <f>IF(ABS(K42-D42)&lt;0.01,"ok","err")</f>
        <v>ok</v>
      </c>
    </row>
    <row r="43" spans="1:12" x14ac:dyDescent="0.25">
      <c r="A43" s="125" t="s">
        <v>2327</v>
      </c>
      <c r="B43" s="123" t="s">
        <v>2330</v>
      </c>
      <c r="C43" s="140"/>
      <c r="D43" s="147">
        <f>-('Allocation ProForma'!I654+'Allocation ProForma'!I655+'Allocation ProForma'!I656)</f>
        <v>-249095.44589721147</v>
      </c>
      <c r="E43" s="276">
        <v>0</v>
      </c>
      <c r="F43" s="276">
        <f>D43</f>
        <v>-249095.44589721147</v>
      </c>
      <c r="G43" s="276">
        <v>0</v>
      </c>
      <c r="H43" s="276">
        <v>0</v>
      </c>
      <c r="I43" s="276">
        <v>0</v>
      </c>
      <c r="J43" s="276">
        <v>0</v>
      </c>
      <c r="K43" s="275">
        <f>SUM(E43:J43)</f>
        <v>-249095.44589721147</v>
      </c>
      <c r="L43" s="154" t="str">
        <f>IF(ABS(K43-D43)&lt;0.01,"ok","err")</f>
        <v>ok</v>
      </c>
    </row>
    <row r="44" spans="1:12" x14ac:dyDescent="0.25">
      <c r="A44" s="125" t="s">
        <v>2328</v>
      </c>
      <c r="B44" s="123" t="s">
        <v>2331</v>
      </c>
      <c r="C44" s="140"/>
      <c r="D44" s="147">
        <f>-('Allocation ProForma'!I652+'Allocation ProForma'!I653+'Allocation ProForma'!I657+'Allocation ProForma'!I658+'Allocation ProForma'!I659+'Allocation ProForma'!I660+'Allocation ProForma'!I662+'Allocation ProForma'!I663+'Allocation ProForma'!I664+'Allocation ProForma'!I665+'Allocation ProForma'!I666)</f>
        <v>-23225.04392562541</v>
      </c>
      <c r="E44" s="276">
        <f t="shared" ref="E44:J44" si="11">(E14/($D$14)*$D$44)</f>
        <v>-16333.601716297266</v>
      </c>
      <c r="F44" s="276">
        <f t="shared" si="11"/>
        <v>-512.17364847616625</v>
      </c>
      <c r="G44" s="276">
        <f t="shared" si="11"/>
        <v>-2163.800386237589</v>
      </c>
      <c r="H44" s="276">
        <f t="shared" si="11"/>
        <v>-3549.8189997253407</v>
      </c>
      <c r="I44" s="276">
        <f t="shared" si="11"/>
        <v>-607.83075506139744</v>
      </c>
      <c r="J44" s="276">
        <f t="shared" si="11"/>
        <v>-57.818419827650665</v>
      </c>
      <c r="K44" s="275">
        <f>SUM(E44:J44)</f>
        <v>-23225.043925625407</v>
      </c>
      <c r="L44" s="154" t="str">
        <f>IF(ABS(K44-D44)&lt;0.01,"ok","err")</f>
        <v>ok</v>
      </c>
    </row>
    <row r="45" spans="1:12" x14ac:dyDescent="0.25">
      <c r="A45" s="125" t="s">
        <v>2332</v>
      </c>
      <c r="B45" s="123" t="s">
        <v>2334</v>
      </c>
      <c r="C45" s="140"/>
      <c r="D45" s="147">
        <f>SUM(D42:D44)</f>
        <v>-356919.57958811463</v>
      </c>
      <c r="E45" s="276">
        <f t="shared" ref="E45:J45" si="12">SUM(E42:E44)</f>
        <v>-16333.601716297266</v>
      </c>
      <c r="F45" s="276">
        <f t="shared" si="12"/>
        <v>-249607.61954568763</v>
      </c>
      <c r="G45" s="276">
        <f t="shared" si="12"/>
        <v>-86762.890151515341</v>
      </c>
      <c r="H45" s="276">
        <f t="shared" si="12"/>
        <v>-3549.8189997253407</v>
      </c>
      <c r="I45" s="276">
        <f t="shared" si="12"/>
        <v>-607.83075506139744</v>
      </c>
      <c r="J45" s="276">
        <f t="shared" si="12"/>
        <v>-57.818419827650665</v>
      </c>
      <c r="K45" s="275">
        <f>SUM(E45:J45)</f>
        <v>-356919.57958811469</v>
      </c>
      <c r="L45" s="154" t="str">
        <f>IF(ABS(K45-D45)&lt;0.01,"ok","err")</f>
        <v>ok</v>
      </c>
    </row>
    <row r="46" spans="1:12" x14ac:dyDescent="0.25">
      <c r="A46" s="122"/>
      <c r="B46" s="123"/>
      <c r="D46" s="148"/>
      <c r="E46" s="186"/>
      <c r="F46" s="186"/>
      <c r="G46" s="186"/>
      <c r="H46" s="186"/>
      <c r="I46" s="186"/>
      <c r="J46" s="186"/>
      <c r="K46" s="153"/>
      <c r="L46" s="155"/>
    </row>
    <row r="47" spans="1:12" x14ac:dyDescent="0.25">
      <c r="A47" s="125" t="s">
        <v>2333</v>
      </c>
      <c r="B47" s="123" t="s">
        <v>2307</v>
      </c>
      <c r="C47" s="39">
        <f>'Allocation ProForma'!I1028-SUM('Allocation ProForma'!I652:I666)</f>
        <v>11481232.991406769</v>
      </c>
      <c r="D47" s="147">
        <f>D40+D45</f>
        <v>11527616.538873609</v>
      </c>
      <c r="E47" s="276">
        <f t="shared" ref="E47:J47" si="13">E40+E45</f>
        <v>4107601.9910651096</v>
      </c>
      <c r="F47" s="276">
        <f t="shared" si="13"/>
        <v>5098184.8767080726</v>
      </c>
      <c r="G47" s="276">
        <f t="shared" si="13"/>
        <v>528258.89228301775</v>
      </c>
      <c r="H47" s="276">
        <f t="shared" si="13"/>
        <v>1053211.1754102975</v>
      </c>
      <c r="I47" s="276">
        <f t="shared" si="13"/>
        <v>206305.49662190786</v>
      </c>
      <c r="J47" s="276">
        <f t="shared" si="13"/>
        <v>534054.10678520158</v>
      </c>
      <c r="K47" s="275">
        <f>SUM(E47:J47)</f>
        <v>11527616.538873609</v>
      </c>
      <c r="L47" s="154" t="str">
        <f>IF(ABS(K47-D47)&lt;0.01,"ok","err")</f>
        <v>ok</v>
      </c>
    </row>
    <row r="48" spans="1:12" x14ac:dyDescent="0.25">
      <c r="A48" s="122"/>
      <c r="B48" s="123"/>
      <c r="C48" s="141"/>
      <c r="D48" s="160"/>
      <c r="E48" s="186"/>
      <c r="F48" s="186"/>
      <c r="G48" s="186"/>
      <c r="H48" s="186"/>
      <c r="I48" s="186"/>
      <c r="J48" s="186"/>
      <c r="K48" s="153"/>
      <c r="L48" s="155"/>
    </row>
    <row r="49" spans="1:12" x14ac:dyDescent="0.25">
      <c r="A49" s="125" t="s">
        <v>2339</v>
      </c>
      <c r="B49" s="123" t="s">
        <v>2309</v>
      </c>
      <c r="C49" s="140"/>
      <c r="D49" s="150"/>
      <c r="E49" s="281">
        <f>'Allocation ProForma'!$I$1121</f>
        <v>157236166</v>
      </c>
      <c r="F49" s="281">
        <f>'Allocation ProForma'!$I$1121</f>
        <v>157236166</v>
      </c>
      <c r="G49" s="281">
        <f>'Allocation ProForma'!$I$1121</f>
        <v>157236166</v>
      </c>
      <c r="H49" s="281">
        <f>'Allocation ProForma'!$I$1121</f>
        <v>157236166</v>
      </c>
      <c r="I49" s="281">
        <f>'Allocation ProForma'!$I$1136*12</f>
        <v>7716</v>
      </c>
      <c r="J49" s="281">
        <f>'Allocation ProForma'!$I$1136*12</f>
        <v>7716</v>
      </c>
      <c r="K49" s="153"/>
      <c r="L49" s="155"/>
    </row>
    <row r="50" spans="1:12" ht="15.75" thickBot="1" x14ac:dyDescent="0.3">
      <c r="A50" s="122"/>
      <c r="B50" s="123"/>
      <c r="C50" s="141"/>
      <c r="D50" s="148"/>
      <c r="E50" s="186"/>
      <c r="F50" s="186"/>
      <c r="G50" s="186"/>
      <c r="H50" s="186"/>
      <c r="I50" s="186"/>
      <c r="J50" s="186"/>
      <c r="K50" s="153"/>
      <c r="L50" s="155"/>
    </row>
    <row r="51" spans="1:12" ht="15.75" thickBot="1" x14ac:dyDescent="0.3">
      <c r="A51" s="127" t="s">
        <v>2340</v>
      </c>
      <c r="B51" s="128" t="s">
        <v>2311</v>
      </c>
      <c r="C51" s="142"/>
      <c r="D51" s="151"/>
      <c r="E51" s="282">
        <f t="shared" ref="E51:J51" si="14">E47/E49</f>
        <v>2.61237735284458E-2</v>
      </c>
      <c r="F51" s="282">
        <f t="shared" si="14"/>
        <v>3.2423741982541554E-2</v>
      </c>
      <c r="G51" s="282">
        <f t="shared" si="14"/>
        <v>3.3596525896148967E-3</v>
      </c>
      <c r="H51" s="282">
        <f t="shared" si="14"/>
        <v>6.698275607981293E-3</v>
      </c>
      <c r="I51" s="283">
        <f>I47/I49</f>
        <v>26.737363481325538</v>
      </c>
      <c r="J51" s="283">
        <f t="shared" si="14"/>
        <v>69.213855208035454</v>
      </c>
      <c r="K51" s="236">
        <f>I51+J51</f>
        <v>95.951218689360985</v>
      </c>
      <c r="L51" s="156"/>
    </row>
    <row r="53" spans="1:12" x14ac:dyDescent="0.25">
      <c r="J53" s="163" t="s">
        <v>2349</v>
      </c>
      <c r="K53" s="267">
        <f>I51+J51</f>
        <v>95.951218689360985</v>
      </c>
    </row>
    <row r="54" spans="1:12" x14ac:dyDescent="0.25">
      <c r="J54" s="163" t="s">
        <v>2348</v>
      </c>
      <c r="K54" s="42">
        <f>E51+F51+G51+H51</f>
        <v>6.8605443708583541E-2</v>
      </c>
    </row>
    <row r="56" spans="1:12" x14ac:dyDescent="0.25">
      <c r="J56" s="163" t="s">
        <v>1754</v>
      </c>
      <c r="K56" s="268">
        <f>K53</f>
        <v>95.951218689360985</v>
      </c>
    </row>
    <row r="57" spans="1:12" ht="15.75" thickBot="1" x14ac:dyDescent="0.3">
      <c r="J57" s="163" t="s">
        <v>2800</v>
      </c>
      <c r="K57" s="269">
        <f>((I47+J47)*D18)/J49</f>
        <v>8.4913674973452977</v>
      </c>
    </row>
    <row r="58" spans="1:12" ht="15.75" thickBot="1" x14ac:dyDescent="0.3">
      <c r="K58" s="270">
        <f>SUM(K56:K57)</f>
        <v>104.44258618670628</v>
      </c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0.75" bottom="0.75" header="0.3" footer="0.3"/>
  <pageSetup scale="4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59"/>
  <sheetViews>
    <sheetView topLeftCell="A16" zoomScaleNormal="100" workbookViewId="0">
      <selection activeCell="D18" sqref="D18"/>
    </sheetView>
  </sheetViews>
  <sheetFormatPr defaultRowHeight="15" x14ac:dyDescent="0.25"/>
  <cols>
    <col min="1" max="1" width="4.5703125" customWidth="1"/>
    <col min="2" max="2" width="41.140625" bestFit="1" customWidth="1"/>
    <col min="3" max="3" width="14.85546875" customWidth="1"/>
    <col min="4" max="4" width="22" customWidth="1"/>
    <col min="5" max="5" width="22.5703125" bestFit="1" customWidth="1"/>
    <col min="6" max="6" width="20.5703125" bestFit="1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 x14ac:dyDescent="0.25">
      <c r="A1" s="514" t="s">
        <v>1775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</row>
    <row r="2" spans="1:14" ht="15.75" x14ac:dyDescent="0.25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</row>
    <row r="3" spans="1:14" ht="15.75" x14ac:dyDescent="0.25">
      <c r="A3" s="514" t="s">
        <v>2316</v>
      </c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</row>
    <row r="4" spans="1:14" ht="15.75" x14ac:dyDescent="0.25">
      <c r="A4" s="514" t="s">
        <v>2801</v>
      </c>
      <c r="B4" s="514"/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</row>
    <row r="5" spans="1:14" ht="15.75" x14ac:dyDescent="0.25">
      <c r="A5" s="262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</row>
    <row r="6" spans="1:14" ht="15.75" x14ac:dyDescent="0.25">
      <c r="A6" s="514" t="s">
        <v>2358</v>
      </c>
      <c r="B6" s="514"/>
      <c r="C6" s="514"/>
      <c r="D6" s="514"/>
      <c r="E6" s="514"/>
      <c r="F6" s="514"/>
      <c r="G6" s="514"/>
      <c r="H6" s="514"/>
      <c r="I6" s="514"/>
      <c r="J6" s="514"/>
      <c r="K6" s="514"/>
      <c r="L6" s="514"/>
      <c r="M6" s="514"/>
      <c r="N6" s="514"/>
    </row>
    <row r="8" spans="1:14" ht="15.75" thickBot="1" x14ac:dyDescent="0.3"/>
    <row r="9" spans="1:14" ht="15.75" thickBot="1" x14ac:dyDescent="0.3">
      <c r="A9" s="129"/>
      <c r="B9" s="130"/>
      <c r="C9" s="131"/>
      <c r="D9" s="129"/>
      <c r="E9" s="515" t="s">
        <v>2312</v>
      </c>
      <c r="F9" s="516"/>
      <c r="G9" s="132" t="s">
        <v>552</v>
      </c>
      <c r="H9" s="515" t="s">
        <v>132</v>
      </c>
      <c r="I9" s="516"/>
      <c r="J9" s="259" t="s">
        <v>2317</v>
      </c>
      <c r="K9" s="131"/>
      <c r="L9" s="263"/>
    </row>
    <row r="10" spans="1:14" x14ac:dyDescent="0.25">
      <c r="A10" s="133"/>
      <c r="B10" s="134"/>
      <c r="C10" s="135"/>
      <c r="D10" s="135"/>
      <c r="E10" s="131"/>
      <c r="F10" s="131"/>
      <c r="G10" s="131"/>
      <c r="H10" s="131"/>
      <c r="I10" s="131"/>
      <c r="J10" s="129"/>
      <c r="K10" s="135"/>
      <c r="L10" s="264"/>
    </row>
    <row r="11" spans="1:14" x14ac:dyDescent="0.25">
      <c r="A11" s="133"/>
      <c r="B11" s="134"/>
      <c r="C11" s="135"/>
      <c r="D11" s="135"/>
      <c r="E11" s="135"/>
      <c r="F11" s="135"/>
      <c r="G11" s="135"/>
      <c r="H11" s="135"/>
      <c r="I11" s="135"/>
      <c r="J11" s="133"/>
      <c r="K11" s="135"/>
      <c r="L11" s="264"/>
    </row>
    <row r="12" spans="1:14" ht="15.75" thickBot="1" x14ac:dyDescent="0.3">
      <c r="A12" s="136"/>
      <c r="B12" s="265" t="s">
        <v>119</v>
      </c>
      <c r="C12" s="266" t="s">
        <v>1424</v>
      </c>
      <c r="D12" s="266" t="s">
        <v>2318</v>
      </c>
      <c r="E12" s="137" t="s">
        <v>2313</v>
      </c>
      <c r="F12" s="137" t="s">
        <v>2314</v>
      </c>
      <c r="G12" s="137" t="s">
        <v>2313</v>
      </c>
      <c r="H12" s="137" t="s">
        <v>2313</v>
      </c>
      <c r="I12" s="137" t="s">
        <v>2315</v>
      </c>
      <c r="J12" s="273" t="s">
        <v>2315</v>
      </c>
      <c r="K12" s="138" t="s">
        <v>82</v>
      </c>
      <c r="L12" s="138" t="s">
        <v>2335</v>
      </c>
    </row>
    <row r="13" spans="1:14" x14ac:dyDescent="0.25">
      <c r="A13" s="120"/>
      <c r="B13" s="121"/>
      <c r="C13" s="143"/>
      <c r="D13" s="143"/>
      <c r="E13" s="144"/>
      <c r="F13" s="144"/>
      <c r="G13" s="144"/>
      <c r="H13" s="144"/>
      <c r="I13" s="144"/>
      <c r="J13" s="144"/>
      <c r="K13" s="152"/>
      <c r="L13" s="153"/>
    </row>
    <row r="14" spans="1:14" x14ac:dyDescent="0.25">
      <c r="A14" s="124" t="s">
        <v>1425</v>
      </c>
      <c r="B14" s="123" t="s">
        <v>210</v>
      </c>
      <c r="C14" s="150"/>
      <c r="D14" s="145">
        <f>'Allocation ProForma'!J174</f>
        <v>466728220.29690921</v>
      </c>
      <c r="E14" s="146">
        <f>'Allocation ProForma'!J123+'Allocation ProForma'!J124+'Allocation ProForma'!J125</f>
        <v>352139841.70745981</v>
      </c>
      <c r="F14" s="146">
        <f>'Allocation ProForma'!J126</f>
        <v>11402823.42455544</v>
      </c>
      <c r="G14" s="146">
        <f>'Allocation ProForma'!J135</f>
        <v>46649865.640839025</v>
      </c>
      <c r="H14" s="146">
        <f>'Allocation ProForma'!J145+'Allocation ProForma'!J147+'Allocation ProForma'!J152+'Allocation ProForma'!J141</f>
        <v>49078131.366514429</v>
      </c>
      <c r="I14" s="146">
        <f>'Allocation ProForma'!J146+'Allocation ProForma'!J148+'Allocation ProForma'!J153+'Allocation ProForma'!J157+'Allocation ProForma'!J160+'Allocation ProForma'!J163</f>
        <v>7168403.7591539072</v>
      </c>
      <c r="J14" s="146">
        <f>'Allocation ProForma'!J166+'Allocation ProForma'!J169</f>
        <v>289154.39838659484</v>
      </c>
      <c r="K14" s="274">
        <f>SUM(E14:J14)</f>
        <v>466728220.29690921</v>
      </c>
      <c r="L14" s="154" t="str">
        <f>IF(ABS(K14-D14)&lt;0.01,"ok","err")</f>
        <v>ok</v>
      </c>
    </row>
    <row r="15" spans="1:14" x14ac:dyDescent="0.25">
      <c r="A15" s="125" t="s">
        <v>1663</v>
      </c>
      <c r="B15" s="123" t="s">
        <v>2293</v>
      </c>
      <c r="C15" s="150"/>
      <c r="D15" s="145">
        <f>'Allocation ProForma'!J857+'Allocation ProForma'!J858+'Allocation ProForma'!J859</f>
        <v>-28642170.86990634</v>
      </c>
      <c r="E15" s="146">
        <f t="shared" ref="E15:J15" si="0">(E14/$D$14)*$D$15</f>
        <v>-21610112.861550547</v>
      </c>
      <c r="F15" s="146">
        <f t="shared" si="0"/>
        <v>-699768.30781245627</v>
      </c>
      <c r="G15" s="146">
        <f t="shared" si="0"/>
        <v>-2862808.2996418984</v>
      </c>
      <c r="H15" s="146">
        <f t="shared" si="0"/>
        <v>-3011826.0766001623</v>
      </c>
      <c r="I15" s="146">
        <f t="shared" si="0"/>
        <v>-439910.50124106841</v>
      </c>
      <c r="J15" s="146">
        <f t="shared" si="0"/>
        <v>-17744.823060206683</v>
      </c>
      <c r="K15" s="274">
        <f>SUM(E15:J15)</f>
        <v>-28642170.86990634</v>
      </c>
      <c r="L15" s="154" t="str">
        <f>IF(ABS(K15-D15)&lt;0.01,"ok","err")</f>
        <v>ok</v>
      </c>
    </row>
    <row r="16" spans="1:14" x14ac:dyDescent="0.25">
      <c r="A16" s="125" t="s">
        <v>2294</v>
      </c>
      <c r="B16" s="123" t="s">
        <v>2295</v>
      </c>
      <c r="C16" s="150"/>
      <c r="D16" s="272">
        <f>D14+D15</f>
        <v>438086049.42700285</v>
      </c>
      <c r="E16" s="146">
        <f t="shared" ref="E16:K16" si="1">E14+E15</f>
        <v>330529728.84590924</v>
      </c>
      <c r="F16" s="146">
        <f t="shared" si="1"/>
        <v>10703055.116742983</v>
      </c>
      <c r="G16" s="146">
        <f t="shared" si="1"/>
        <v>43787057.341197126</v>
      </c>
      <c r="H16" s="146">
        <f t="shared" si="1"/>
        <v>46066305.289914265</v>
      </c>
      <c r="I16" s="146">
        <f t="shared" si="1"/>
        <v>6728493.2579128388</v>
      </c>
      <c r="J16" s="146">
        <f t="shared" si="1"/>
        <v>271409.57532638818</v>
      </c>
      <c r="K16" s="274">
        <f t="shared" si="1"/>
        <v>438086049.42700285</v>
      </c>
      <c r="L16" s="154" t="str">
        <f>IF(ABS(K16-D16)&lt;0.01,"ok","err")</f>
        <v>ok</v>
      </c>
    </row>
    <row r="17" spans="1:12" x14ac:dyDescent="0.25">
      <c r="A17" s="125"/>
      <c r="B17" s="126"/>
      <c r="C17" s="148"/>
      <c r="D17" s="148"/>
      <c r="E17" s="146"/>
      <c r="F17" s="146"/>
      <c r="G17" s="146"/>
      <c r="H17" s="146"/>
      <c r="I17" s="146"/>
      <c r="J17" s="146"/>
      <c r="K17" s="274"/>
      <c r="L17" s="155"/>
    </row>
    <row r="18" spans="1:12" x14ac:dyDescent="0.25">
      <c r="A18" s="125" t="s">
        <v>2296</v>
      </c>
      <c r="B18" s="123" t="s">
        <v>534</v>
      </c>
      <c r="C18" s="150"/>
      <c r="D18" s="149">
        <f>'Allocation ProForma'!J1092</f>
        <v>0.11139666752944076</v>
      </c>
      <c r="E18" s="19">
        <f t="shared" ref="E18:J18" si="2">D18</f>
        <v>0.11139666752944076</v>
      </c>
      <c r="F18" s="19">
        <f t="shared" si="2"/>
        <v>0.11139666752944076</v>
      </c>
      <c r="G18" s="19">
        <f t="shared" si="2"/>
        <v>0.11139666752944076</v>
      </c>
      <c r="H18" s="19">
        <f t="shared" si="2"/>
        <v>0.11139666752944076</v>
      </c>
      <c r="I18" s="19">
        <f t="shared" si="2"/>
        <v>0.11139666752944076</v>
      </c>
      <c r="J18" s="19">
        <f t="shared" si="2"/>
        <v>0.11139666752944076</v>
      </c>
      <c r="K18" s="274"/>
      <c r="L18" s="154"/>
    </row>
    <row r="19" spans="1:12" x14ac:dyDescent="0.25">
      <c r="A19" s="122"/>
      <c r="B19" s="123"/>
      <c r="C19" s="148"/>
      <c r="D19" s="148"/>
      <c r="E19" s="146"/>
      <c r="F19" s="146"/>
      <c r="G19" s="146"/>
      <c r="H19" s="146"/>
      <c r="I19" s="146"/>
      <c r="J19" s="146"/>
      <c r="K19" s="274"/>
      <c r="L19" s="155"/>
    </row>
    <row r="20" spans="1:12" x14ac:dyDescent="0.25">
      <c r="A20" s="125" t="s">
        <v>2297</v>
      </c>
      <c r="B20" s="123" t="s">
        <v>2298</v>
      </c>
      <c r="C20" s="150"/>
      <c r="D20" s="272">
        <f>D18*D16</f>
        <v>48801325.997305989</v>
      </c>
      <c r="E20" s="146">
        <f t="shared" ref="E20:J20" si="3">E18*E16</f>
        <v>36819910.312843956</v>
      </c>
      <c r="F20" s="146">
        <f t="shared" si="3"/>
        <v>1192284.672389098</v>
      </c>
      <c r="G20" s="146">
        <f t="shared" si="3"/>
        <v>4877732.2687298944</v>
      </c>
      <c r="H20" s="146">
        <f t="shared" si="3"/>
        <v>5131632.8946902975</v>
      </c>
      <c r="I20" s="146">
        <f t="shared" si="3"/>
        <v>749531.72642580024</v>
      </c>
      <c r="J20" s="146">
        <f t="shared" si="3"/>
        <v>30234.122226940373</v>
      </c>
      <c r="K20" s="274">
        <f>SUM(E20:J20)</f>
        <v>48801325.997305982</v>
      </c>
      <c r="L20" s="154" t="str">
        <f>IF(ABS(K20-D20)&lt;0.01,"ok","err")</f>
        <v>ok</v>
      </c>
    </row>
    <row r="21" spans="1:12" x14ac:dyDescent="0.25">
      <c r="A21" s="122"/>
      <c r="B21" s="123"/>
      <c r="C21" s="148"/>
      <c r="D21" s="272"/>
      <c r="E21" s="146"/>
      <c r="F21" s="146"/>
      <c r="G21" s="146"/>
      <c r="H21" s="146"/>
      <c r="I21" s="146"/>
      <c r="J21" s="146"/>
      <c r="K21" s="274"/>
      <c r="L21" s="155"/>
    </row>
    <row r="22" spans="1:12" x14ac:dyDescent="0.25">
      <c r="A22" s="125" t="s">
        <v>1664</v>
      </c>
      <c r="B22" s="123" t="s">
        <v>2299</v>
      </c>
      <c r="C22" s="150"/>
      <c r="D22" s="272">
        <f>'Allocation ProForma'!J706</f>
        <v>7934198.333919785</v>
      </c>
      <c r="E22" s="146">
        <f t="shared" ref="E22:J22" si="4">(E14/$D$14)*$D$22</f>
        <v>5986240.4368965188</v>
      </c>
      <c r="F22" s="146">
        <f t="shared" si="4"/>
        <v>193843.5660897799</v>
      </c>
      <c r="G22" s="146">
        <f t="shared" si="4"/>
        <v>793029.58370434295</v>
      </c>
      <c r="H22" s="146">
        <f t="shared" si="4"/>
        <v>834309.15720583824</v>
      </c>
      <c r="I22" s="146">
        <f t="shared" si="4"/>
        <v>121860.07764124885</v>
      </c>
      <c r="J22" s="146">
        <f t="shared" si="4"/>
        <v>4915.512382056173</v>
      </c>
      <c r="K22" s="274">
        <f>SUM(E22:J22)</f>
        <v>7934198.3339197859</v>
      </c>
      <c r="L22" s="154" t="str">
        <f>IF(ABS(K22-D22)&lt;0.01,"ok","err")</f>
        <v>ok</v>
      </c>
    </row>
    <row r="23" spans="1:12" x14ac:dyDescent="0.25">
      <c r="A23" s="122"/>
      <c r="B23" s="123"/>
      <c r="C23" s="148"/>
      <c r="D23" s="272"/>
      <c r="E23" s="146"/>
      <c r="F23" s="146"/>
      <c r="G23" s="146"/>
      <c r="H23" s="146"/>
      <c r="I23" s="146"/>
      <c r="J23" s="146"/>
      <c r="K23" s="274"/>
      <c r="L23" s="155"/>
    </row>
    <row r="24" spans="1:12" x14ac:dyDescent="0.25">
      <c r="A24" s="125" t="s">
        <v>1665</v>
      </c>
      <c r="B24" s="123" t="s">
        <v>248</v>
      </c>
      <c r="C24" s="150"/>
      <c r="D24" s="272">
        <f>D20-D22</f>
        <v>40867127.663386203</v>
      </c>
      <c r="E24" s="146">
        <f t="shared" ref="E24:J24" si="5">E20-E22</f>
        <v>30833669.875947438</v>
      </c>
      <c r="F24" s="146">
        <f t="shared" si="5"/>
        <v>998441.10629931814</v>
      </c>
      <c r="G24" s="146">
        <f t="shared" si="5"/>
        <v>4084702.6850255514</v>
      </c>
      <c r="H24" s="146">
        <f t="shared" si="5"/>
        <v>4297323.7374844588</v>
      </c>
      <c r="I24" s="146">
        <f t="shared" si="5"/>
        <v>627671.64878455142</v>
      </c>
      <c r="J24" s="146">
        <f t="shared" si="5"/>
        <v>25318.609844884202</v>
      </c>
      <c r="K24" s="274">
        <f>SUM(E24:J24)</f>
        <v>40867127.663386203</v>
      </c>
      <c r="L24" s="154" t="str">
        <f>IF(ABS(K24-D24)&lt;0.01,"ok","err")</f>
        <v>ok</v>
      </c>
    </row>
    <row r="25" spans="1:12" x14ac:dyDescent="0.25">
      <c r="A25" s="122"/>
      <c r="B25" s="123"/>
      <c r="C25" s="148"/>
      <c r="D25" s="272"/>
      <c r="E25" s="146"/>
      <c r="F25" s="146"/>
      <c r="G25" s="146"/>
      <c r="H25" s="146"/>
      <c r="I25" s="146"/>
      <c r="J25" s="146"/>
      <c r="K25" s="274"/>
      <c r="L25" s="155"/>
    </row>
    <row r="26" spans="1:12" x14ac:dyDescent="0.25">
      <c r="A26" s="125" t="s">
        <v>1666</v>
      </c>
      <c r="B26" s="123" t="s">
        <v>660</v>
      </c>
      <c r="C26" s="148"/>
      <c r="D26" s="286">
        <f>'Allocation ProForma'!J820+'Allocation ProForma'!J1084</f>
        <v>26020525.908681594</v>
      </c>
      <c r="E26" s="146">
        <f t="shared" ref="E26:J26" si="6">$D$26*(E24/$K$24)</f>
        <v>19632118.813812107</v>
      </c>
      <c r="F26" s="146">
        <f t="shared" si="6"/>
        <v>635717.85344802111</v>
      </c>
      <c r="G26" s="146">
        <f t="shared" si="6"/>
        <v>2600772.7511564945</v>
      </c>
      <c r="H26" s="146">
        <f t="shared" si="6"/>
        <v>2736150.7901957994</v>
      </c>
      <c r="I26" s="146">
        <f t="shared" si="6"/>
        <v>399645.07742920821</v>
      </c>
      <c r="J26" s="146">
        <f t="shared" si="6"/>
        <v>16120.622639962228</v>
      </c>
      <c r="K26" s="274">
        <f>SUM(E26:J26)</f>
        <v>26020525.908681594</v>
      </c>
      <c r="L26" s="154" t="str">
        <f>IF(ABS(K26-D26)&lt;0.01,"ok","err")</f>
        <v>ok</v>
      </c>
    </row>
    <row r="27" spans="1:12" x14ac:dyDescent="0.25">
      <c r="A27" s="122"/>
      <c r="B27" s="123"/>
      <c r="C27" s="148"/>
      <c r="D27" s="272"/>
      <c r="E27" s="146"/>
      <c r="F27" s="146"/>
      <c r="G27" s="146"/>
      <c r="H27" s="146"/>
      <c r="I27" s="146"/>
      <c r="J27" s="146"/>
      <c r="K27" s="274"/>
      <c r="L27" s="155"/>
    </row>
    <row r="28" spans="1:12" x14ac:dyDescent="0.25">
      <c r="A28" s="125" t="s">
        <v>1667</v>
      </c>
      <c r="B28" s="123" t="s">
        <v>945</v>
      </c>
      <c r="C28" s="150"/>
      <c r="D28" s="272">
        <f>'Allocation ProForma'!J672</f>
        <v>131510847.83207567</v>
      </c>
      <c r="E28" s="146">
        <f>'Allocation ProForma'!J180+'Allocation ProForma'!J181+'Allocation ProForma'!J182</f>
        <v>13789716.859149121</v>
      </c>
      <c r="F28" s="146">
        <f>'Allocation ProForma'!J183</f>
        <v>105438153.86005451</v>
      </c>
      <c r="G28" s="146">
        <f>'Allocation ProForma'!J192</f>
        <v>4526028.3586273929</v>
      </c>
      <c r="H28" s="146">
        <f>'Allocation ProForma'!J198+'Allocation ProForma'!J202+'Allocation ProForma'!J204+'Allocation ProForma'!J209</f>
        <v>4450804.117468534</v>
      </c>
      <c r="I28" s="146">
        <f>'Allocation ProForma'!J203+'Allocation ProForma'!J205+'Allocation ProForma'!J210+'Allocation ProForma'!J214+'Allocation ProForma'!J217</f>
        <v>991954.81312495866</v>
      </c>
      <c r="J28" s="146">
        <f>'Allocation ProForma'!J223+'Allocation ProForma'!J226</f>
        <v>2314189.8236511559</v>
      </c>
      <c r="K28" s="274">
        <f>SUM(E28:J28)</f>
        <v>131510847.83207566</v>
      </c>
      <c r="L28" s="154" t="str">
        <f>IF(ABS(K28-D28)&lt;0.01,"ok","err")</f>
        <v>ok</v>
      </c>
    </row>
    <row r="29" spans="1:12" x14ac:dyDescent="0.25">
      <c r="A29" s="125" t="s">
        <v>2300</v>
      </c>
      <c r="B29" s="123" t="s">
        <v>1040</v>
      </c>
      <c r="C29" s="150"/>
      <c r="D29" s="272">
        <f>'Allocation ProForma'!J673</f>
        <v>22564394.612155128</v>
      </c>
      <c r="E29" s="146">
        <f>'Allocation ProForma'!J300</f>
        <v>18478432.074983306</v>
      </c>
      <c r="F29" s="146">
        <v>0</v>
      </c>
      <c r="G29" s="146">
        <f>'Allocation ProForma'!J306</f>
        <v>1595677.6163795916</v>
      </c>
      <c r="H29" s="146">
        <f>'Allocation ProForma'!J312+'Allocation ProForma'!J316+'Allocation ProForma'!J318+'Allocation ProForma'!J323</f>
        <v>2174836.2412399994</v>
      </c>
      <c r="I29" s="146">
        <f>'Allocation ProForma'!J317+'Allocation ProForma'!J319+'Allocation ProForma'!J324+'Allocation ProForma'!J328+'Allocation ProForma'!J331</f>
        <v>315448.6795522318</v>
      </c>
      <c r="J29" s="146">
        <v>0</v>
      </c>
      <c r="K29" s="274">
        <f>SUM(E29:J29)</f>
        <v>22564394.612155128</v>
      </c>
      <c r="L29" s="154" t="str">
        <f>IF(ABS(K29-D29)&lt;0.01,"ok","err")</f>
        <v>ok</v>
      </c>
    </row>
    <row r="30" spans="1:12" x14ac:dyDescent="0.25">
      <c r="A30" s="125" t="s">
        <v>2301</v>
      </c>
      <c r="B30" s="123" t="s">
        <v>521</v>
      </c>
      <c r="C30" s="150"/>
      <c r="D30" s="272">
        <f>'Allocation ProForma'!J675+'Allocation ProForma'!J676+'Allocation ProForma'!J677+'Allocation ProForma'!J674</f>
        <v>3019879.3156991922</v>
      </c>
      <c r="E30" s="146">
        <f>'Allocation ProForma'!J414+'Allocation ProForma'!J471+'Allocation ProForma'!J357</f>
        <v>2202808.1501609068</v>
      </c>
      <c r="F30" s="146">
        <f>'Allocation ProForma'!J529</f>
        <v>-132.20439199411376</v>
      </c>
      <c r="G30" s="146">
        <f>'Allocation ProForma'!J420+'Allocation ProForma'!J477+'Allocation ProForma'!J363</f>
        <v>389408.8078198451</v>
      </c>
      <c r="H30" s="146">
        <f>'Allocation ProForma'!J426+'Allocation ProForma'!J430+'Allocation ProForma'!J432+'Allocation ProForma'!J437+'Allocation ProForma'!J483+'Allocation ProForma'!J487+'Allocation ProForma'!J489+'Allocation ProForma'!J494+'Allocation ProForma'!J369+'Allocation ProForma'!J373+'Allocation ProForma'!J375+'Allocation ProForma'!J380</f>
        <v>373605.08820299438</v>
      </c>
      <c r="I30" s="146">
        <f>'Allocation ProForma'!J431+'Allocation ProForma'!J433+'Allocation ProForma'!J438+'Allocation ProForma'!J442+'Allocation ProForma'!J445+'Allocation ProForma'!J488+'Allocation ProForma'!J490+'Allocation ProForma'!J495+'Allocation ProForma'!J499+'Allocation ProForma'!J502+'Allocation ProForma'!J374+'Allocation ProForma'!J376+'Allocation ProForma'!J381+'Allocation ProForma'!J385+'Allocation ProForma'!J388</f>
        <v>54189.473907439926</v>
      </c>
      <c r="J30" s="146">
        <v>0</v>
      </c>
      <c r="K30" s="274">
        <f>SUM(E30:J30)</f>
        <v>3019879.3156991922</v>
      </c>
      <c r="L30" s="154" t="str">
        <f>IF(ABS(K30-D30)&lt;0.01,"ok","err")</f>
        <v>ok</v>
      </c>
    </row>
    <row r="31" spans="1:12" x14ac:dyDescent="0.25">
      <c r="A31" s="125" t="s">
        <v>2302</v>
      </c>
      <c r="B31" s="158" t="s">
        <v>2338</v>
      </c>
      <c r="C31" s="150"/>
      <c r="D31" s="272">
        <f>'Allocation ProForma'!J680</f>
        <v>805162.32952428702</v>
      </c>
      <c r="E31" s="146">
        <f>D31</f>
        <v>805162.32952428702</v>
      </c>
      <c r="F31" s="146"/>
      <c r="G31" s="146"/>
      <c r="H31" s="146"/>
      <c r="I31" s="146"/>
      <c r="J31" s="146"/>
      <c r="K31" s="274">
        <f>SUM(E31:J31)</f>
        <v>805162.32952428702</v>
      </c>
      <c r="L31" s="154" t="str">
        <f>IF(ABS(K31-D31)&lt;0.01,"ok","err")</f>
        <v>ok</v>
      </c>
    </row>
    <row r="32" spans="1:12" x14ac:dyDescent="0.25">
      <c r="A32" s="125" t="s">
        <v>2303</v>
      </c>
      <c r="B32" s="158" t="s">
        <v>2320</v>
      </c>
      <c r="C32" s="150"/>
      <c r="D32" s="286">
        <f>'Allocation ProForma'!J826</f>
        <v>-1743614.8568182352</v>
      </c>
      <c r="E32" s="146">
        <f>D32</f>
        <v>-1743614.8568182352</v>
      </c>
      <c r="F32" s="146">
        <v>0</v>
      </c>
      <c r="G32" s="146">
        <v>0</v>
      </c>
      <c r="H32" s="146">
        <v>0</v>
      </c>
      <c r="I32" s="146">
        <v>0</v>
      </c>
      <c r="J32" s="146">
        <v>0</v>
      </c>
      <c r="K32" s="274">
        <f>SUM(E32:J32)</f>
        <v>-1743614.8568182352</v>
      </c>
      <c r="L32" s="154" t="str">
        <f t="shared" ref="L32:L38" si="7">IF(ABS(K32-D32)&lt;0.01,"ok","err")</f>
        <v>ok</v>
      </c>
    </row>
    <row r="33" spans="1:12" x14ac:dyDescent="0.25">
      <c r="A33" s="125" t="s">
        <v>2305</v>
      </c>
      <c r="B33" s="158" t="s">
        <v>2319</v>
      </c>
      <c r="C33" s="150"/>
      <c r="D33" s="286">
        <f>'Allocation ProForma'!J825+'Allocation ProForma'!J828+'Allocation ProForma'!J829</f>
        <v>-2672428.9061552356</v>
      </c>
      <c r="E33" s="146">
        <v>0</v>
      </c>
      <c r="F33" s="146">
        <f>D33</f>
        <v>-2672428.9061552356</v>
      </c>
      <c r="G33" s="146">
        <v>0</v>
      </c>
      <c r="H33" s="146">
        <v>0</v>
      </c>
      <c r="I33" s="146">
        <v>0</v>
      </c>
      <c r="J33" s="146">
        <v>0</v>
      </c>
      <c r="K33" s="274">
        <f t="shared" ref="K33:K38" si="8">SUM(E33:J33)</f>
        <v>-2672428.9061552356</v>
      </c>
      <c r="L33" s="154" t="str">
        <f t="shared" si="7"/>
        <v>ok</v>
      </c>
    </row>
    <row r="34" spans="1:12" x14ac:dyDescent="0.25">
      <c r="A34" s="125" t="s">
        <v>2306</v>
      </c>
      <c r="B34" s="123" t="s">
        <v>2323</v>
      </c>
      <c r="C34" s="150"/>
      <c r="D34" s="286">
        <f>'Allocation ProForma'!J839+'Allocation ProForma'!J842</f>
        <v>-736113.73625727918</v>
      </c>
      <c r="E34" s="146">
        <v>0</v>
      </c>
      <c r="F34" s="146">
        <v>0</v>
      </c>
      <c r="G34" s="146">
        <f>D34</f>
        <v>-736113.73625727918</v>
      </c>
      <c r="H34" s="146">
        <v>0</v>
      </c>
      <c r="I34" s="146">
        <v>0</v>
      </c>
      <c r="J34" s="146">
        <v>0</v>
      </c>
      <c r="K34" s="274">
        <f t="shared" si="8"/>
        <v>-736113.73625727918</v>
      </c>
      <c r="L34" s="154" t="str">
        <f t="shared" si="7"/>
        <v>ok</v>
      </c>
    </row>
    <row r="35" spans="1:12" x14ac:dyDescent="0.25">
      <c r="A35" s="125" t="s">
        <v>2308</v>
      </c>
      <c r="B35" s="123" t="s">
        <v>2321</v>
      </c>
      <c r="C35" s="150"/>
      <c r="D35" s="286">
        <f>'Allocation ProForma'!J830+'Allocation ProForma'!J837</f>
        <v>-518996.04229122028</v>
      </c>
      <c r="E35" s="146">
        <v>0</v>
      </c>
      <c r="F35" s="146">
        <v>0</v>
      </c>
      <c r="G35" s="146">
        <v>0</v>
      </c>
      <c r="H35" s="146">
        <f>(H14/($I$14+$H$14)*$D$35)</f>
        <v>-452852.00031184906</v>
      </c>
      <c r="I35" s="146">
        <f>(I14/($I$14+$H$14)*$D$35)</f>
        <v>-66144.041979371206</v>
      </c>
      <c r="J35" s="146">
        <v>0</v>
      </c>
      <c r="K35" s="274">
        <f t="shared" si="8"/>
        <v>-518996.04229122028</v>
      </c>
      <c r="L35" s="154" t="str">
        <f t="shared" si="7"/>
        <v>ok</v>
      </c>
    </row>
    <row r="36" spans="1:12" x14ac:dyDescent="0.25">
      <c r="A36" s="159" t="s">
        <v>2310</v>
      </c>
      <c r="B36" s="123" t="s">
        <v>2322</v>
      </c>
      <c r="C36" s="150"/>
      <c r="D36" s="286">
        <f>'Allocation ProForma'!J831+'Allocation ProForma'!J832+'Allocation ProForma'!J833+'Allocation ProForma'!J834+'Allocation ProForma'!J835+'Allocation ProForma'!J836+'Allocation ProForma'!J838+'Allocation ProForma'!J840+'Allocation ProForma'!J841+'Allocation ProForma'!J843+'Allocation ProForma'!J844+'Allocation ProForma'!J845+'Allocation ProForma'!J846+'Allocation ProForma'!J847</f>
        <v>-1874386.8678558161</v>
      </c>
      <c r="E36" s="146">
        <f t="shared" ref="E36:J36" si="9">(E14/($D$14)*$D$36)</f>
        <v>-1414198.3840732835</v>
      </c>
      <c r="F36" s="146">
        <f t="shared" si="9"/>
        <v>-45793.893649432153</v>
      </c>
      <c r="G36" s="146">
        <f t="shared" si="9"/>
        <v>-187346.49361635346</v>
      </c>
      <c r="H36" s="146">
        <f t="shared" si="9"/>
        <v>-197098.44173077197</v>
      </c>
      <c r="I36" s="146">
        <f t="shared" si="9"/>
        <v>-28788.406797212319</v>
      </c>
      <c r="J36" s="146">
        <f t="shared" si="9"/>
        <v>-1161.2479887627046</v>
      </c>
      <c r="K36" s="274">
        <f t="shared" si="8"/>
        <v>-1874386.8678558161</v>
      </c>
      <c r="L36" s="154" t="str">
        <f t="shared" si="7"/>
        <v>ok</v>
      </c>
    </row>
    <row r="37" spans="1:12" x14ac:dyDescent="0.25">
      <c r="A37" s="125"/>
      <c r="B37" s="123"/>
      <c r="D37" s="272"/>
      <c r="E37" s="146"/>
      <c r="F37" s="146"/>
      <c r="G37" s="146"/>
      <c r="H37" s="146"/>
      <c r="I37" s="146"/>
      <c r="J37" s="146"/>
      <c r="K37" s="274"/>
      <c r="L37" s="154"/>
    </row>
    <row r="38" spans="1:12" x14ac:dyDescent="0.25">
      <c r="A38" s="125" t="s">
        <v>2324</v>
      </c>
      <c r="B38" s="123" t="s">
        <v>2329</v>
      </c>
      <c r="C38" s="150"/>
      <c r="D38" s="272">
        <f>'Allocation ProForma'!J848</f>
        <v>-7545540.4093777863</v>
      </c>
      <c r="E38" s="146">
        <f>SUM(E32:E36)</f>
        <v>-3157813.240891519</v>
      </c>
      <c r="F38" s="146">
        <f>SUM(F33:F36)</f>
        <v>-2718222.7998046679</v>
      </c>
      <c r="G38" s="146">
        <f>SUM(G32:G36)</f>
        <v>-923460.22987363266</v>
      </c>
      <c r="H38" s="146">
        <f>SUM(H32:H36)</f>
        <v>-649950.44204262109</v>
      </c>
      <c r="I38" s="146">
        <f>SUM(I32:I36)</f>
        <v>-94932.448776583522</v>
      </c>
      <c r="J38" s="146">
        <f>SUM(J32:J36)</f>
        <v>-1161.2479887627046</v>
      </c>
      <c r="K38" s="274">
        <f t="shared" si="8"/>
        <v>-7545540.4093777863</v>
      </c>
      <c r="L38" s="154" t="str">
        <f t="shared" si="7"/>
        <v>ok</v>
      </c>
    </row>
    <row r="39" spans="1:12" x14ac:dyDescent="0.25">
      <c r="A39" s="122"/>
      <c r="B39" s="123"/>
      <c r="C39" s="148"/>
      <c r="D39" s="272"/>
      <c r="E39" s="146"/>
      <c r="F39" s="146"/>
      <c r="G39" s="146"/>
      <c r="H39" s="146"/>
      <c r="I39" s="146"/>
      <c r="J39" s="146"/>
      <c r="K39" s="274"/>
      <c r="L39" s="155"/>
    </row>
    <row r="40" spans="1:12" x14ac:dyDescent="0.25">
      <c r="A40" s="125" t="s">
        <v>2325</v>
      </c>
      <c r="B40" s="123" t="s">
        <v>2304</v>
      </c>
      <c r="C40" s="271">
        <f>'Allocation ProForma'!J1028</f>
        <v>229620489.8515681</v>
      </c>
      <c r="D40" s="272">
        <f>SUM(D28:D31)+D22+D26+D38+D24</f>
        <v>225176595.58606407</v>
      </c>
      <c r="E40" s="146">
        <f t="shared" ref="E40:J40" si="10">SUM(E28:E31)+E22+E26+E38+E24</f>
        <v>88570335.299582168</v>
      </c>
      <c r="F40" s="146">
        <f t="shared" si="10"/>
        <v>104547801.38169494</v>
      </c>
      <c r="G40" s="146">
        <f t="shared" si="10"/>
        <v>13066159.572839584</v>
      </c>
      <c r="H40" s="146">
        <f t="shared" si="10"/>
        <v>14217078.689755002</v>
      </c>
      <c r="I40" s="146">
        <f t="shared" si="10"/>
        <v>2415837.3216630556</v>
      </c>
      <c r="J40" s="146">
        <f t="shared" si="10"/>
        <v>2359383.3205292956</v>
      </c>
      <c r="K40" s="274">
        <f>SUM(E40:J40)</f>
        <v>225176595.58606401</v>
      </c>
      <c r="L40" s="154" t="str">
        <f>IF(ABS(K40-D40)&lt;0.01,"ok","err")</f>
        <v>ok</v>
      </c>
    </row>
    <row r="41" spans="1:12" x14ac:dyDescent="0.25">
      <c r="A41" s="122"/>
      <c r="B41" s="123"/>
      <c r="C41" s="148"/>
      <c r="D41" s="272"/>
      <c r="E41" s="146"/>
      <c r="F41" s="146"/>
      <c r="G41" s="146"/>
      <c r="H41" s="146"/>
      <c r="I41" s="146"/>
      <c r="J41" s="146"/>
      <c r="K41" s="274"/>
      <c r="L41" s="155"/>
    </row>
    <row r="42" spans="1:12" x14ac:dyDescent="0.25">
      <c r="A42" s="125" t="s">
        <v>2326</v>
      </c>
      <c r="B42" s="158" t="s">
        <v>2347</v>
      </c>
      <c r="C42" s="150"/>
      <c r="D42" s="286">
        <f>-'Allocation ProForma'!J661</f>
        <v>-1595773.5251476027</v>
      </c>
      <c r="E42" s="146"/>
      <c r="F42" s="146">
        <v>0</v>
      </c>
      <c r="G42" s="146">
        <f>D42</f>
        <v>-1595773.5251476027</v>
      </c>
      <c r="H42" s="146">
        <v>0</v>
      </c>
      <c r="I42" s="146">
        <v>0</v>
      </c>
      <c r="J42" s="146">
        <v>0</v>
      </c>
      <c r="K42" s="274">
        <f>SUM(E42:J42)</f>
        <v>-1595773.5251476027</v>
      </c>
      <c r="L42" s="154" t="str">
        <f>IF(ABS(K42-D42)&lt;0.01,"ok","err")</f>
        <v>ok</v>
      </c>
    </row>
    <row r="43" spans="1:12" x14ac:dyDescent="0.25">
      <c r="A43" s="125" t="s">
        <v>2327</v>
      </c>
      <c r="B43" s="123" t="s">
        <v>2330</v>
      </c>
      <c r="C43" s="150"/>
      <c r="D43" s="286">
        <f>-('Allocation ProForma'!J654+'Allocation ProForma'!J655+'Allocation ProForma'!J656)</f>
        <v>-4836680.4190546768</v>
      </c>
      <c r="E43" s="146">
        <v>0</v>
      </c>
      <c r="F43" s="146">
        <f>D43</f>
        <v>-4836680.4190546768</v>
      </c>
      <c r="G43" s="146">
        <v>0</v>
      </c>
      <c r="H43" s="146">
        <v>0</v>
      </c>
      <c r="I43" s="146">
        <v>0</v>
      </c>
      <c r="J43" s="146">
        <v>0</v>
      </c>
      <c r="K43" s="274">
        <f>SUM(E43:J43)</f>
        <v>-4836680.4190546768</v>
      </c>
      <c r="L43" s="154" t="str">
        <f>IF(ABS(K43-D43)&lt;0.01,"ok","err")</f>
        <v>ok</v>
      </c>
    </row>
    <row r="44" spans="1:12" x14ac:dyDescent="0.25">
      <c r="A44" s="125" t="s">
        <v>2328</v>
      </c>
      <c r="B44" s="123" t="s">
        <v>2331</v>
      </c>
      <c r="C44" s="150"/>
      <c r="D44" s="286">
        <f>-('Allocation ProForma'!J652+'Allocation ProForma'!J653+'Allocation ProForma'!J657+'Allocation ProForma'!J658+'Allocation ProForma'!J659+'Allocation ProForma'!J660+'Allocation ProForma'!J662+'Allocation ProForma'!J663+'Allocation ProForma'!J664+'Allocation ProForma'!J665+'Allocation ProForma'!J666)</f>
        <v>-519799.99659267603</v>
      </c>
      <c r="E44" s="146">
        <f t="shared" ref="E44:J44" si="11">(E14/($D$14)*$D$44)</f>
        <v>-392181.74637745431</v>
      </c>
      <c r="F44" s="146">
        <f t="shared" si="11"/>
        <v>-12699.441172552675</v>
      </c>
      <c r="G44" s="146">
        <f t="shared" si="11"/>
        <v>-51954.432894010926</v>
      </c>
      <c r="H44" s="146">
        <f t="shared" si="11"/>
        <v>-54658.817289557512</v>
      </c>
      <c r="I44" s="146">
        <f t="shared" si="11"/>
        <v>-7983.5246456979721</v>
      </c>
      <c r="J44" s="146">
        <f t="shared" si="11"/>
        <v>-322.03421340259723</v>
      </c>
      <c r="K44" s="274">
        <f>SUM(E44:J44)</f>
        <v>-519799.99659267603</v>
      </c>
      <c r="L44" s="154" t="str">
        <f>IF(ABS(K44-D44)&lt;0.01,"ok","err")</f>
        <v>ok</v>
      </c>
    </row>
    <row r="45" spans="1:12" x14ac:dyDescent="0.25">
      <c r="A45" s="125" t="s">
        <v>2332</v>
      </c>
      <c r="B45" s="123" t="s">
        <v>2334</v>
      </c>
      <c r="C45" s="150"/>
      <c r="D45" s="272">
        <f>SUM(D42:D44)</f>
        <v>-6952253.9407949559</v>
      </c>
      <c r="E45" s="146">
        <f t="shared" ref="E45:J45" si="12">SUM(E42:E44)</f>
        <v>-392181.74637745431</v>
      </c>
      <c r="F45" s="146">
        <f t="shared" si="12"/>
        <v>-4849379.8602272291</v>
      </c>
      <c r="G45" s="146">
        <f t="shared" si="12"/>
        <v>-1647727.9580416137</v>
      </c>
      <c r="H45" s="146">
        <f t="shared" si="12"/>
        <v>-54658.817289557512</v>
      </c>
      <c r="I45" s="146">
        <f t="shared" si="12"/>
        <v>-7983.5246456979721</v>
      </c>
      <c r="J45" s="146">
        <f t="shared" si="12"/>
        <v>-322.03421340259723</v>
      </c>
      <c r="K45" s="274">
        <f>SUM(E45:J45)</f>
        <v>-6952253.940794955</v>
      </c>
      <c r="L45" s="154" t="str">
        <f>IF(ABS(K45-D45)&lt;0.01,"ok","err")</f>
        <v>ok</v>
      </c>
    </row>
    <row r="46" spans="1:12" x14ac:dyDescent="0.25">
      <c r="A46" s="122"/>
      <c r="B46" s="123"/>
      <c r="D46" s="272"/>
      <c r="E46" s="146"/>
      <c r="F46" s="146"/>
      <c r="G46" s="146"/>
      <c r="H46" s="146"/>
      <c r="I46" s="146"/>
      <c r="J46" s="146"/>
      <c r="K46" s="274"/>
      <c r="L46" s="155"/>
    </row>
    <row r="47" spans="1:12" x14ac:dyDescent="0.25">
      <c r="A47" s="125" t="s">
        <v>2333</v>
      </c>
      <c r="B47" s="123" t="s">
        <v>2307</v>
      </c>
      <c r="C47" s="39">
        <f>'Allocation ProForma'!J1028-SUM('Allocation ProForma'!J652:J666)</f>
        <v>222668235.91077316</v>
      </c>
      <c r="D47" s="272">
        <f>D40+D45</f>
        <v>218224341.64526913</v>
      </c>
      <c r="E47" s="146">
        <f t="shared" ref="E47:J47" si="13">E40+E45</f>
        <v>88178153.553204715</v>
      </c>
      <c r="F47" s="146">
        <f t="shared" si="13"/>
        <v>99698421.521467716</v>
      </c>
      <c r="G47" s="146">
        <f t="shared" si="13"/>
        <v>11418431.61479797</v>
      </c>
      <c r="H47" s="146">
        <f t="shared" si="13"/>
        <v>14162419.872465445</v>
      </c>
      <c r="I47" s="146">
        <f t="shared" si="13"/>
        <v>2407853.7970173578</v>
      </c>
      <c r="J47" s="146">
        <f t="shared" si="13"/>
        <v>2359061.2863158928</v>
      </c>
      <c r="K47" s="274">
        <f>SUM(E47:J47)</f>
        <v>218224341.6452691</v>
      </c>
      <c r="L47" s="154" t="str">
        <f>IF(ABS(K47-D47)&lt;0.01,"ok","err")</f>
        <v>ok</v>
      </c>
    </row>
    <row r="48" spans="1:12" x14ac:dyDescent="0.25">
      <c r="A48" s="122"/>
      <c r="B48" s="123"/>
      <c r="C48" s="148"/>
      <c r="D48" s="160"/>
      <c r="E48" s="146"/>
      <c r="F48" s="146"/>
      <c r="G48" s="146"/>
      <c r="H48" s="146"/>
      <c r="I48" s="146"/>
      <c r="J48" s="146"/>
      <c r="K48" s="274"/>
      <c r="L48" s="155"/>
    </row>
    <row r="49" spans="1:12" x14ac:dyDescent="0.25">
      <c r="A49" s="125" t="s">
        <v>2339</v>
      </c>
      <c r="B49" s="123" t="s">
        <v>2309</v>
      </c>
      <c r="C49" s="150"/>
      <c r="D49" s="150"/>
      <c r="E49" s="301">
        <v>8750756</v>
      </c>
      <c r="F49" s="281">
        <f>'Allocation ProForma'!$J$1121</f>
        <v>3062809438</v>
      </c>
      <c r="G49" s="301">
        <f>E49</f>
        <v>8750756</v>
      </c>
      <c r="H49" s="301">
        <f>E49</f>
        <v>8750756</v>
      </c>
      <c r="I49" s="301">
        <f>'Allocation ProForma'!$J$1136*12</f>
        <v>67524</v>
      </c>
      <c r="J49" s="301">
        <f>'Allocation ProForma'!$J$1136*12</f>
        <v>67524</v>
      </c>
      <c r="K49" s="274"/>
      <c r="L49" s="155"/>
    </row>
    <row r="50" spans="1:12" ht="15.75" thickBot="1" x14ac:dyDescent="0.3">
      <c r="A50" s="122"/>
      <c r="B50" s="123"/>
      <c r="C50" s="148"/>
      <c r="D50" s="148"/>
      <c r="E50" s="146"/>
      <c r="F50" s="146"/>
      <c r="G50" s="146"/>
      <c r="H50" s="146"/>
      <c r="I50" s="146"/>
      <c r="J50" s="146"/>
      <c r="K50" s="274"/>
      <c r="L50" s="155"/>
    </row>
    <row r="51" spans="1:12" ht="15.75" thickBot="1" x14ac:dyDescent="0.3">
      <c r="A51" s="127" t="s">
        <v>2340</v>
      </c>
      <c r="B51" s="128" t="s">
        <v>2311</v>
      </c>
      <c r="C51" s="151"/>
      <c r="D51" s="151"/>
      <c r="E51" s="298">
        <f t="shared" ref="E51:J51" si="14">E47/E49</f>
        <v>10.076632642163114</v>
      </c>
      <c r="F51" s="302">
        <f t="shared" si="14"/>
        <v>3.2551297604257845E-2</v>
      </c>
      <c r="G51" s="298">
        <f t="shared" si="14"/>
        <v>1.3048508740042541</v>
      </c>
      <c r="H51" s="298">
        <f t="shared" si="14"/>
        <v>1.6184224394401403</v>
      </c>
      <c r="I51" s="298">
        <f>I47/I49</f>
        <v>35.659229266888183</v>
      </c>
      <c r="J51" s="298">
        <f t="shared" si="14"/>
        <v>34.936634179193959</v>
      </c>
      <c r="K51" s="299">
        <f>I51+J51</f>
        <v>70.595863446082149</v>
      </c>
      <c r="L51" s="156"/>
    </row>
    <row r="53" spans="1:12" x14ac:dyDescent="0.25">
      <c r="J53" s="163" t="s">
        <v>2349</v>
      </c>
      <c r="K53" s="267">
        <f>I51+J51</f>
        <v>70.595863446082149</v>
      </c>
    </row>
    <row r="54" spans="1:12" x14ac:dyDescent="0.25">
      <c r="J54" s="163" t="s">
        <v>2348</v>
      </c>
      <c r="K54" s="300">
        <f>F51</f>
        <v>3.2551297604257845E-2</v>
      </c>
    </row>
    <row r="55" spans="1:12" x14ac:dyDescent="0.25">
      <c r="J55" s="163" t="s">
        <v>2802</v>
      </c>
      <c r="K55" s="268">
        <f>E51+G51+H51</f>
        <v>12.999905955607508</v>
      </c>
    </row>
    <row r="57" spans="1:12" x14ac:dyDescent="0.25">
      <c r="J57" s="163" t="s">
        <v>1754</v>
      </c>
      <c r="K57" s="268">
        <f>K53</f>
        <v>70.595863446082149</v>
      </c>
    </row>
    <row r="58" spans="1:12" ht="15.75" thickBot="1" x14ac:dyDescent="0.3">
      <c r="J58" s="163" t="s">
        <v>2800</v>
      </c>
      <c r="K58" s="269">
        <f>((I47+J47)*D18)/J49</f>
        <v>7.8641439292570121</v>
      </c>
    </row>
    <row r="59" spans="1:12" ht="15.75" thickBot="1" x14ac:dyDescent="0.3">
      <c r="K59" s="270">
        <f>SUM(K57:K58)</f>
        <v>78.46000737533916</v>
      </c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0.75" bottom="0.75" header="0.3" footer="0.3"/>
  <pageSetup scale="4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N59"/>
  <sheetViews>
    <sheetView view="pageBreakPreview" zoomScale="60" zoomScaleNormal="100" workbookViewId="0">
      <selection activeCell="H14" sqref="H14"/>
    </sheetView>
  </sheetViews>
  <sheetFormatPr defaultRowHeight="15" x14ac:dyDescent="0.25"/>
  <cols>
    <col min="1" max="1" width="4.5703125" customWidth="1"/>
    <col min="2" max="2" width="41.140625" bestFit="1" customWidth="1"/>
    <col min="3" max="3" width="14.42578125" customWidth="1"/>
    <col min="4" max="4" width="22" customWidth="1"/>
    <col min="5" max="5" width="22.5703125" bestFit="1" customWidth="1"/>
    <col min="6" max="6" width="20.5703125" bestFit="1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 x14ac:dyDescent="0.25">
      <c r="A1" s="514" t="s">
        <v>1775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</row>
    <row r="2" spans="1:14" ht="15.75" x14ac:dyDescent="0.25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</row>
    <row r="3" spans="1:14" ht="15.75" x14ac:dyDescent="0.25">
      <c r="A3" s="514" t="s">
        <v>2316</v>
      </c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</row>
    <row r="4" spans="1:14" ht="15.75" x14ac:dyDescent="0.25">
      <c r="A4" s="514" t="s">
        <v>2801</v>
      </c>
      <c r="B4" s="514"/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</row>
    <row r="5" spans="1:14" ht="15.75" x14ac:dyDescent="0.25">
      <c r="A5" s="262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</row>
    <row r="6" spans="1:14" ht="15.75" x14ac:dyDescent="0.25">
      <c r="A6" s="514" t="s">
        <v>2360</v>
      </c>
      <c r="B6" s="514"/>
      <c r="C6" s="514"/>
      <c r="D6" s="514"/>
      <c r="E6" s="514"/>
      <c r="F6" s="514"/>
      <c r="G6" s="514"/>
      <c r="H6" s="514"/>
      <c r="I6" s="514"/>
      <c r="J6" s="514"/>
      <c r="K6" s="514"/>
      <c r="L6" s="514"/>
      <c r="M6" s="514"/>
      <c r="N6" s="514"/>
    </row>
    <row r="8" spans="1:14" ht="15.75" thickBot="1" x14ac:dyDescent="0.3"/>
    <row r="9" spans="1:14" ht="15.75" thickBot="1" x14ac:dyDescent="0.3">
      <c r="A9" s="129"/>
      <c r="B9" s="130"/>
      <c r="C9" s="131"/>
      <c r="D9" s="129"/>
      <c r="E9" s="515" t="s">
        <v>2312</v>
      </c>
      <c r="F9" s="516"/>
      <c r="G9" s="132" t="s">
        <v>552</v>
      </c>
      <c r="H9" s="515" t="s">
        <v>132</v>
      </c>
      <c r="I9" s="516"/>
      <c r="J9" s="132" t="s">
        <v>2317</v>
      </c>
      <c r="K9" s="129"/>
      <c r="L9" s="263"/>
    </row>
    <row r="10" spans="1:14" x14ac:dyDescent="0.25">
      <c r="A10" s="133"/>
      <c r="B10" s="134"/>
      <c r="C10" s="135"/>
      <c r="D10" s="135"/>
      <c r="E10" s="131"/>
      <c r="F10" s="131"/>
      <c r="G10" s="131"/>
      <c r="H10" s="131"/>
      <c r="I10" s="131"/>
      <c r="J10" s="131"/>
      <c r="K10" s="133"/>
      <c r="L10" s="264"/>
    </row>
    <row r="11" spans="1:14" x14ac:dyDescent="0.25">
      <c r="A11" s="133"/>
      <c r="B11" s="134"/>
      <c r="C11" s="135"/>
      <c r="D11" s="135"/>
      <c r="E11" s="135"/>
      <c r="F11" s="135"/>
      <c r="G11" s="135"/>
      <c r="H11" s="135"/>
      <c r="I11" s="135"/>
      <c r="J11" s="135"/>
      <c r="K11" s="133"/>
      <c r="L11" s="264"/>
    </row>
    <row r="12" spans="1:14" ht="15.75" thickBot="1" x14ac:dyDescent="0.3">
      <c r="A12" s="136"/>
      <c r="B12" s="265" t="s">
        <v>119</v>
      </c>
      <c r="C12" s="266" t="s">
        <v>1424</v>
      </c>
      <c r="D12" s="266" t="s">
        <v>2318</v>
      </c>
      <c r="E12" s="137" t="s">
        <v>2313</v>
      </c>
      <c r="F12" s="137" t="s">
        <v>2314</v>
      </c>
      <c r="G12" s="137" t="s">
        <v>2313</v>
      </c>
      <c r="H12" s="137" t="s">
        <v>2313</v>
      </c>
      <c r="I12" s="137" t="s">
        <v>2315</v>
      </c>
      <c r="J12" s="137" t="s">
        <v>2315</v>
      </c>
      <c r="K12" s="162" t="s">
        <v>82</v>
      </c>
      <c r="L12" s="138" t="s">
        <v>2335</v>
      </c>
    </row>
    <row r="13" spans="1:14" x14ac:dyDescent="0.25">
      <c r="A13" s="120"/>
      <c r="B13" s="121"/>
      <c r="C13" s="139"/>
      <c r="D13" s="303"/>
      <c r="E13" s="295"/>
      <c r="F13" s="295"/>
      <c r="G13" s="295"/>
      <c r="H13" s="295"/>
      <c r="I13" s="295"/>
      <c r="J13" s="295"/>
      <c r="K13" s="296"/>
      <c r="L13" s="153"/>
    </row>
    <row r="14" spans="1:14" x14ac:dyDescent="0.25">
      <c r="A14" s="124" t="s">
        <v>1425</v>
      </c>
      <c r="B14" s="158" t="s">
        <v>210</v>
      </c>
      <c r="C14" s="140"/>
      <c r="D14" s="284">
        <f>'Allocation ProForma'!K174</f>
        <v>103973077.01513284</v>
      </c>
      <c r="E14" s="278">
        <f>'Allocation ProForma'!K123+'Allocation ProForma'!K124+'Allocation ProForma'!K125</f>
        <v>80751579.033894554</v>
      </c>
      <c r="F14" s="278">
        <f>'Allocation ProForma'!K126</f>
        <v>2607304.971511391</v>
      </c>
      <c r="G14" s="278">
        <f>'Allocation ProForma'!K135</f>
        <v>10697597.562238503</v>
      </c>
      <c r="H14" s="278">
        <f>'Allocation ProForma'!K145+'Allocation ProForma'!K147+'Allocation ProForma'!K152+'Allocation ProForma'!K141</f>
        <v>8777382.8627700862</v>
      </c>
      <c r="I14" s="278">
        <f>'Allocation ProForma'!K146+'Allocation ProForma'!K148+'Allocation ProForma'!K153+'Allocation ProForma'!K157+'Allocation ProForma'!K160+'Allocation ProForma'!K163</f>
        <v>1123899.2719905309</v>
      </c>
      <c r="J14" s="278">
        <f>'Allocation ProForma'!K166+'Allocation ProForma'!K169</f>
        <v>15313.312727777724</v>
      </c>
      <c r="K14" s="285">
        <f>SUM(E14:J14)</f>
        <v>103973077.01513284</v>
      </c>
      <c r="L14" s="154" t="str">
        <f>IF(ABS(K14-D14)&lt;0.01,"ok","err")</f>
        <v>ok</v>
      </c>
    </row>
    <row r="15" spans="1:14" x14ac:dyDescent="0.25">
      <c r="A15" s="125" t="s">
        <v>1663</v>
      </c>
      <c r="B15" s="304" t="s">
        <v>2293</v>
      </c>
      <c r="C15" s="140"/>
      <c r="D15" s="284">
        <f>'Allocation ProForma'!K857+'Allocation ProForma'!K858+'Allocation ProForma'!K859</f>
        <v>-6556173.0055832788</v>
      </c>
      <c r="E15" s="279">
        <f t="shared" ref="E15:J15" si="0">(E14/$D$14)*$D$15</f>
        <v>-5091907.8074720167</v>
      </c>
      <c r="F15" s="279">
        <f t="shared" si="0"/>
        <v>-164407.39239695782</v>
      </c>
      <c r="G15" s="279">
        <f t="shared" si="0"/>
        <v>-674552.51278110838</v>
      </c>
      <c r="H15" s="279">
        <f t="shared" si="0"/>
        <v>-553470.59293231205</v>
      </c>
      <c r="I15" s="279">
        <f t="shared" si="0"/>
        <v>-70869.096881172096</v>
      </c>
      <c r="J15" s="279">
        <f t="shared" si="0"/>
        <v>-965.60311971241208</v>
      </c>
      <c r="K15" s="285">
        <f>SUM(E15:J15)</f>
        <v>-6556173.0055832788</v>
      </c>
      <c r="L15" s="154" t="str">
        <f>IF(ABS(K15-D15)&lt;0.01,"ok","err")</f>
        <v>ok</v>
      </c>
    </row>
    <row r="16" spans="1:14" x14ac:dyDescent="0.25">
      <c r="A16" s="125" t="s">
        <v>2294</v>
      </c>
      <c r="B16" s="305" t="s">
        <v>2295</v>
      </c>
      <c r="C16" s="140"/>
      <c r="D16" s="286">
        <f>D14+D15</f>
        <v>97416904.009549558</v>
      </c>
      <c r="E16" s="276">
        <f t="shared" ref="E16:K16" si="1">E14+E15</f>
        <v>75659671.226422533</v>
      </c>
      <c r="F16" s="276">
        <f t="shared" si="1"/>
        <v>2442897.5791144334</v>
      </c>
      <c r="G16" s="276">
        <f t="shared" si="1"/>
        <v>10023045.049457395</v>
      </c>
      <c r="H16" s="276">
        <f t="shared" si="1"/>
        <v>8223912.2698377743</v>
      </c>
      <c r="I16" s="276">
        <f t="shared" si="1"/>
        <v>1053030.1751093587</v>
      </c>
      <c r="J16" s="276">
        <f t="shared" si="1"/>
        <v>14347.709608065312</v>
      </c>
      <c r="K16" s="285">
        <f t="shared" si="1"/>
        <v>97416904.009549558</v>
      </c>
      <c r="L16" s="154" t="str">
        <f>IF(ABS(K16-D16)&lt;0.01,"ok","err")</f>
        <v>ok</v>
      </c>
    </row>
    <row r="17" spans="1:12" x14ac:dyDescent="0.25">
      <c r="A17" s="125"/>
      <c r="B17" s="305"/>
      <c r="C17" s="141"/>
      <c r="D17" s="287"/>
      <c r="E17" s="186"/>
      <c r="F17" s="186"/>
      <c r="G17" s="186"/>
      <c r="H17" s="186"/>
      <c r="I17" s="186"/>
      <c r="J17" s="186"/>
      <c r="K17" s="285"/>
      <c r="L17" s="155"/>
    </row>
    <row r="18" spans="1:12" x14ac:dyDescent="0.25">
      <c r="A18" s="125" t="s">
        <v>2296</v>
      </c>
      <c r="B18" s="158" t="s">
        <v>534</v>
      </c>
      <c r="C18" s="140"/>
      <c r="D18" s="288">
        <f>'Allocation ProForma'!K1092</f>
        <v>0.1019427385812801</v>
      </c>
      <c r="E18" s="280">
        <f t="shared" ref="E18:J18" si="2">D18</f>
        <v>0.1019427385812801</v>
      </c>
      <c r="F18" s="280">
        <f t="shared" si="2"/>
        <v>0.1019427385812801</v>
      </c>
      <c r="G18" s="280">
        <f t="shared" si="2"/>
        <v>0.1019427385812801</v>
      </c>
      <c r="H18" s="280">
        <f t="shared" si="2"/>
        <v>0.1019427385812801</v>
      </c>
      <c r="I18" s="280">
        <f t="shared" si="2"/>
        <v>0.1019427385812801</v>
      </c>
      <c r="J18" s="280">
        <f t="shared" si="2"/>
        <v>0.1019427385812801</v>
      </c>
      <c r="K18" s="285"/>
      <c r="L18" s="154"/>
    </row>
    <row r="19" spans="1:12" x14ac:dyDescent="0.25">
      <c r="A19" s="122"/>
      <c r="B19" s="158"/>
      <c r="C19" s="141"/>
      <c r="D19" s="287"/>
      <c r="E19" s="186"/>
      <c r="F19" s="186"/>
      <c r="G19" s="186"/>
      <c r="H19" s="186"/>
      <c r="I19" s="186"/>
      <c r="J19" s="186"/>
      <c r="K19" s="285"/>
      <c r="L19" s="155"/>
    </row>
    <row r="20" spans="1:12" x14ac:dyDescent="0.25">
      <c r="A20" s="125" t="s">
        <v>2297</v>
      </c>
      <c r="B20" s="158" t="s">
        <v>2298</v>
      </c>
      <c r="C20" s="140"/>
      <c r="D20" s="286">
        <f>D18*D16</f>
        <v>9930945.9788431674</v>
      </c>
      <c r="E20" s="276">
        <f t="shared" ref="E20:J20" si="3">E18*E16</f>
        <v>7712954.0849807924</v>
      </c>
      <c r="F20" s="276">
        <f t="shared" si="3"/>
        <v>249035.66928850469</v>
      </c>
      <c r="G20" s="276">
        <f t="shared" si="3"/>
        <v>1021776.6612652289</v>
      </c>
      <c r="H20" s="276">
        <f t="shared" si="3"/>
        <v>838368.13863945403</v>
      </c>
      <c r="I20" s="276">
        <f t="shared" si="3"/>
        <v>107348.77985937297</v>
      </c>
      <c r="J20" s="276">
        <f t="shared" si="3"/>
        <v>1462.6448098151229</v>
      </c>
      <c r="K20" s="285">
        <f>SUM(E20:J20)</f>
        <v>9930945.9788431693</v>
      </c>
      <c r="L20" s="154" t="str">
        <f>IF(ABS(K20-D20)&lt;0.01,"ok","err")</f>
        <v>ok</v>
      </c>
    </row>
    <row r="21" spans="1:12" x14ac:dyDescent="0.25">
      <c r="A21" s="122"/>
      <c r="B21" s="158"/>
      <c r="C21" s="141"/>
      <c r="D21" s="287"/>
      <c r="E21" s="186"/>
      <c r="F21" s="186"/>
      <c r="G21" s="186"/>
      <c r="H21" s="186"/>
      <c r="I21" s="186"/>
      <c r="J21" s="186"/>
      <c r="K21" s="285"/>
      <c r="L21" s="155"/>
    </row>
    <row r="22" spans="1:12" x14ac:dyDescent="0.25">
      <c r="A22" s="125" t="s">
        <v>1664</v>
      </c>
      <c r="B22" s="158" t="s">
        <v>2299</v>
      </c>
      <c r="C22" s="140"/>
      <c r="D22" s="286">
        <f>'Allocation ProForma'!K706</f>
        <v>1766148.0961665623</v>
      </c>
      <c r="E22" s="276">
        <f t="shared" ref="E22:J22" si="4">(E14/$D$14)*$D$22</f>
        <v>1371694.0160614746</v>
      </c>
      <c r="F22" s="276">
        <f t="shared" si="4"/>
        <v>44289.222207882092</v>
      </c>
      <c r="G22" s="276">
        <f t="shared" si="4"/>
        <v>181715.71055220108</v>
      </c>
      <c r="H22" s="276">
        <f t="shared" si="4"/>
        <v>149097.80952380705</v>
      </c>
      <c r="I22" s="276">
        <f t="shared" si="4"/>
        <v>19091.216846647301</v>
      </c>
      <c r="J22" s="276">
        <f t="shared" si="4"/>
        <v>260.12097455028135</v>
      </c>
      <c r="K22" s="285">
        <f>SUM(E22:J22)</f>
        <v>1766148.0961665623</v>
      </c>
      <c r="L22" s="154" t="str">
        <f>IF(ABS(K22-D22)&lt;0.01,"ok","err")</f>
        <v>ok</v>
      </c>
    </row>
    <row r="23" spans="1:12" x14ac:dyDescent="0.25">
      <c r="A23" s="122"/>
      <c r="B23" s="158"/>
      <c r="C23" s="141"/>
      <c r="D23" s="287"/>
      <c r="E23" s="186"/>
      <c r="F23" s="186"/>
      <c r="G23" s="186"/>
      <c r="H23" s="186"/>
      <c r="I23" s="186"/>
      <c r="J23" s="186"/>
      <c r="K23" s="285"/>
      <c r="L23" s="155"/>
    </row>
    <row r="24" spans="1:12" x14ac:dyDescent="0.25">
      <c r="A24" s="125" t="s">
        <v>1665</v>
      </c>
      <c r="B24" s="158" t="s">
        <v>248</v>
      </c>
      <c r="C24" s="140"/>
      <c r="D24" s="286">
        <f>D20-D22</f>
        <v>8164797.8826766051</v>
      </c>
      <c r="E24" s="276">
        <f t="shared" ref="E24:J24" si="5">E20-E22</f>
        <v>6341260.0689193178</v>
      </c>
      <c r="F24" s="276">
        <f t="shared" si="5"/>
        <v>204746.4470806226</v>
      </c>
      <c r="G24" s="276">
        <f t="shared" si="5"/>
        <v>840060.95071302773</v>
      </c>
      <c r="H24" s="276">
        <f t="shared" si="5"/>
        <v>689270.32911564701</v>
      </c>
      <c r="I24" s="276">
        <f t="shared" si="5"/>
        <v>88257.563012725674</v>
      </c>
      <c r="J24" s="276">
        <f t="shared" si="5"/>
        <v>1202.5238352648416</v>
      </c>
      <c r="K24" s="285">
        <f>SUM(E24:J24)</f>
        <v>8164797.8826766061</v>
      </c>
      <c r="L24" s="154" t="str">
        <f>IF(ABS(K24-D24)&lt;0.01,"ok","err")</f>
        <v>ok</v>
      </c>
    </row>
    <row r="25" spans="1:12" x14ac:dyDescent="0.25">
      <c r="A25" s="122"/>
      <c r="B25" s="158"/>
      <c r="C25" s="141"/>
      <c r="D25" s="287"/>
      <c r="E25" s="186"/>
      <c r="F25" s="186"/>
      <c r="G25" s="186"/>
      <c r="H25" s="186"/>
      <c r="I25" s="186"/>
      <c r="J25" s="186"/>
      <c r="K25" s="285"/>
      <c r="L25" s="155"/>
    </row>
    <row r="26" spans="1:12" x14ac:dyDescent="0.25">
      <c r="A26" s="125" t="s">
        <v>1666</v>
      </c>
      <c r="B26" s="158" t="s">
        <v>660</v>
      </c>
      <c r="C26" s="141"/>
      <c r="D26" s="286">
        <f>'Allocation ProForma'!K820+'Allocation ProForma'!K1084</f>
        <v>7079788.4771710159</v>
      </c>
      <c r="E26" s="276">
        <f t="shared" ref="E26:J26" si="6">$D$26*(E24/$K$24)</f>
        <v>5498578.2393871257</v>
      </c>
      <c r="F26" s="276">
        <f t="shared" si="6"/>
        <v>177537.95716837732</v>
      </c>
      <c r="G26" s="276">
        <f t="shared" si="6"/>
        <v>728426.34005652962</v>
      </c>
      <c r="H26" s="276">
        <f t="shared" si="6"/>
        <v>597674.08867310418</v>
      </c>
      <c r="I26" s="276">
        <f t="shared" si="6"/>
        <v>76529.129884088659</v>
      </c>
      <c r="J26" s="276">
        <f t="shared" si="6"/>
        <v>1042.722001789537</v>
      </c>
      <c r="K26" s="285">
        <f>SUM(E26:J26)</f>
        <v>7079788.4771710141</v>
      </c>
      <c r="L26" s="154" t="str">
        <f>IF(ABS(K26-D26)&lt;0.01,"ok","err")</f>
        <v>ok</v>
      </c>
    </row>
    <row r="27" spans="1:12" x14ac:dyDescent="0.25">
      <c r="A27" s="122"/>
      <c r="B27" s="158"/>
      <c r="C27" s="141"/>
      <c r="D27" s="287"/>
      <c r="E27" s="186"/>
      <c r="F27" s="186"/>
      <c r="G27" s="186"/>
      <c r="H27" s="186"/>
      <c r="I27" s="186"/>
      <c r="J27" s="186"/>
      <c r="K27" s="285"/>
      <c r="L27" s="155"/>
    </row>
    <row r="28" spans="1:12" x14ac:dyDescent="0.25">
      <c r="A28" s="125" t="s">
        <v>1667</v>
      </c>
      <c r="B28" s="158" t="s">
        <v>945</v>
      </c>
      <c r="C28" s="140"/>
      <c r="D28" s="286">
        <f>'Allocation ProForma'!K672</f>
        <v>29595390.789760306</v>
      </c>
      <c r="E28" s="276">
        <f>'Allocation ProForma'!K180+'Allocation ProForma'!K181+'Allocation ProForma'!K182</f>
        <v>3162213.6404879829</v>
      </c>
      <c r="F28" s="276">
        <f>'Allocation ProForma'!K183</f>
        <v>24108890.623904489</v>
      </c>
      <c r="G28" s="276">
        <f>'Allocation ProForma'!K192</f>
        <v>1037894.3062482937</v>
      </c>
      <c r="H28" s="276">
        <f>'Allocation ProForma'!K198+'Allocation ProForma'!K202+'Allocation ProForma'!K204+'Allocation ProForma'!K209</f>
        <v>917216.91860155552</v>
      </c>
      <c r="I28" s="276">
        <f>'Allocation ProForma'!K203+'Allocation ProForma'!K205+'Allocation ProForma'!K210+'Allocation ProForma'!K214+'Allocation ProForma'!K217</f>
        <v>247159.61125393875</v>
      </c>
      <c r="J28" s="276">
        <f>'Allocation ProForma'!K223+'Allocation ProForma'!K226</f>
        <v>122015.68926404996</v>
      </c>
      <c r="K28" s="285">
        <f>SUM(E28:J28)</f>
        <v>29595390.78976031</v>
      </c>
      <c r="L28" s="154" t="str">
        <f>IF(ABS(K28-D28)&lt;0.01,"ok","err")</f>
        <v>ok</v>
      </c>
    </row>
    <row r="29" spans="1:12" x14ac:dyDescent="0.25">
      <c r="A29" s="125" t="s">
        <v>2300</v>
      </c>
      <c r="B29" s="158" t="s">
        <v>1040</v>
      </c>
      <c r="C29" s="140"/>
      <c r="D29" s="286">
        <f>'Allocation ProForma'!K673</f>
        <v>5040755.816084858</v>
      </c>
      <c r="E29" s="276">
        <f>'Allocation ProForma'!K300</f>
        <v>4237414.775023045</v>
      </c>
      <c r="F29" s="276">
        <v>0</v>
      </c>
      <c r="G29" s="276">
        <f>'Allocation ProForma'!K306</f>
        <v>365915.67295227596</v>
      </c>
      <c r="H29" s="276">
        <f>'Allocation ProForma'!K312+'Allocation ProForma'!K316+'Allocation ProForma'!K318+'Allocation ProForma'!K323</f>
        <v>388599.57734025706</v>
      </c>
      <c r="I29" s="276">
        <f>'Allocation ProForma'!K317+'Allocation ProForma'!K319+'Allocation ProForma'!K324+'Allocation ProForma'!K328+'Allocation ProForma'!K331</f>
        <v>48825.79076928104</v>
      </c>
      <c r="J29" s="276">
        <v>0</v>
      </c>
      <c r="K29" s="285">
        <f>SUM(E29:J29)</f>
        <v>5040755.816084859</v>
      </c>
      <c r="L29" s="154" t="str">
        <f>IF(ABS(K29-D29)&lt;0.01,"ok","err")</f>
        <v>ok</v>
      </c>
    </row>
    <row r="30" spans="1:12" x14ac:dyDescent="0.25">
      <c r="A30" s="125" t="s">
        <v>2301</v>
      </c>
      <c r="B30" s="158" t="s">
        <v>521</v>
      </c>
      <c r="C30" s="140"/>
      <c r="D30" s="286">
        <f>'Allocation ProForma'!K675+'Allocation ProForma'!K676+'Allocation ProForma'!K677+'Allocation ProForma'!K674</f>
        <v>669551.93603940168</v>
      </c>
      <c r="E30" s="276">
        <f>'Allocation ProForma'!K414+'Allocation ProForma'!K471+'Allocation ProForma'!K357</f>
        <v>505140.89962589223</v>
      </c>
      <c r="F30" s="276">
        <f>'Allocation ProForma'!K529</f>
        <v>-30.229106920975781</v>
      </c>
      <c r="G30" s="276">
        <f>'Allocation ProForma'!K420+'Allocation ProForma'!K477+'Allocation ProForma'!K363</f>
        <v>89297.978804915023</v>
      </c>
      <c r="H30" s="276">
        <f>'Allocation ProForma'!K426+'Allocation ProForma'!K430+'Allocation ProForma'!K432+'Allocation ProForma'!K437+'Allocation ProForma'!K483+'Allocation ProForma'!K487+'Allocation ProForma'!K489+'Allocation ProForma'!K494+'Allocation ProForma'!K369+'Allocation ProForma'!K373+'Allocation ProForma'!K375+'Allocation ProForma'!K380</f>
        <v>66755.729288875591</v>
      </c>
      <c r="I30" s="276">
        <f>'Allocation ProForma'!K431+'Allocation ProForma'!K433+'Allocation ProForma'!K438+'Allocation ProForma'!K442+'Allocation ProForma'!K445+'Allocation ProForma'!K488+'Allocation ProForma'!K490+'Allocation ProForma'!K495+'Allocation ProForma'!K499+'Allocation ProForma'!K502+'Allocation ProForma'!K374+'Allocation ProForma'!K376+'Allocation ProForma'!K381+'Allocation ProForma'!K385+'Allocation ProForma'!K388</f>
        <v>8387.5574266399144</v>
      </c>
      <c r="J30" s="276">
        <v>0</v>
      </c>
      <c r="K30" s="285">
        <f>SUM(E30:J30)</f>
        <v>669551.9360394018</v>
      </c>
      <c r="L30" s="154" t="str">
        <f>IF(ABS(K30-D30)&lt;0.01,"ok","err")</f>
        <v>ok</v>
      </c>
    </row>
    <row r="31" spans="1:12" x14ac:dyDescent="0.25">
      <c r="A31" s="125" t="s">
        <v>2302</v>
      </c>
      <c r="B31" s="158" t="s">
        <v>2338</v>
      </c>
      <c r="C31" s="140"/>
      <c r="D31" s="286">
        <f>'Allocation ProForma'!K680</f>
        <v>192821.88345711885</v>
      </c>
      <c r="E31" s="276">
        <f>D31</f>
        <v>192821.88345711885</v>
      </c>
      <c r="F31" s="276"/>
      <c r="G31" s="276"/>
      <c r="H31" s="276"/>
      <c r="I31" s="276"/>
      <c r="J31" s="276"/>
      <c r="K31" s="285">
        <f>SUM(E31:J31)</f>
        <v>192821.88345711885</v>
      </c>
      <c r="L31" s="154" t="str">
        <f>IF(ABS(K31-D31)&lt;0.01,"ok","err")</f>
        <v>ok</v>
      </c>
    </row>
    <row r="32" spans="1:12" x14ac:dyDescent="0.25">
      <c r="A32" s="125" t="s">
        <v>2303</v>
      </c>
      <c r="B32" s="158" t="s">
        <v>2320</v>
      </c>
      <c r="C32" s="140"/>
      <c r="D32" s="286">
        <f>'Allocation ProForma'!K826</f>
        <v>-433823.60365474597</v>
      </c>
      <c r="E32" s="276">
        <f>D32</f>
        <v>-433823.60365474597</v>
      </c>
      <c r="F32" s="276">
        <v>0</v>
      </c>
      <c r="G32" s="276">
        <v>0</v>
      </c>
      <c r="H32" s="276">
        <v>0</v>
      </c>
      <c r="I32" s="276">
        <v>0</v>
      </c>
      <c r="J32" s="276">
        <v>0</v>
      </c>
      <c r="K32" s="285">
        <f>SUM(E32:J32)</f>
        <v>-433823.60365474597</v>
      </c>
      <c r="L32" s="154" t="str">
        <f t="shared" ref="L32:L38" si="7">IF(ABS(K32-D32)&lt;0.01,"ok","err")</f>
        <v>ok</v>
      </c>
    </row>
    <row r="33" spans="1:12" x14ac:dyDescent="0.25">
      <c r="A33" s="125" t="s">
        <v>2305</v>
      </c>
      <c r="B33" s="158" t="s">
        <v>2319</v>
      </c>
      <c r="C33" s="140"/>
      <c r="D33" s="286">
        <f>'Allocation ProForma'!K825+'Allocation ProForma'!K828+'Allocation ProForma'!K829</f>
        <v>-643267.90989918611</v>
      </c>
      <c r="E33" s="276">
        <v>0</v>
      </c>
      <c r="F33" s="276">
        <f>D33</f>
        <v>-643267.90989918611</v>
      </c>
      <c r="G33" s="276">
        <v>0</v>
      </c>
      <c r="H33" s="276">
        <v>0</v>
      </c>
      <c r="I33" s="276">
        <v>0</v>
      </c>
      <c r="J33" s="276">
        <v>0</v>
      </c>
      <c r="K33" s="285">
        <f t="shared" ref="K33:K38" si="8">SUM(E33:J33)</f>
        <v>-643267.90989918611</v>
      </c>
      <c r="L33" s="154" t="str">
        <f t="shared" si="7"/>
        <v>ok</v>
      </c>
    </row>
    <row r="34" spans="1:12" x14ac:dyDescent="0.25">
      <c r="A34" s="125" t="s">
        <v>2306</v>
      </c>
      <c r="B34" s="158" t="s">
        <v>2323</v>
      </c>
      <c r="C34" s="140"/>
      <c r="D34" s="286">
        <f>'Allocation ProForma'!K839+'Allocation ProForma'!K842</f>
        <v>-168803.2409598708</v>
      </c>
      <c r="E34" s="276">
        <v>0</v>
      </c>
      <c r="F34" s="276">
        <v>0</v>
      </c>
      <c r="G34" s="276">
        <f>D34</f>
        <v>-168803.2409598708</v>
      </c>
      <c r="H34" s="276">
        <v>0</v>
      </c>
      <c r="I34" s="276">
        <v>0</v>
      </c>
      <c r="J34" s="276">
        <v>0</v>
      </c>
      <c r="K34" s="285">
        <f t="shared" si="8"/>
        <v>-168803.2409598708</v>
      </c>
      <c r="L34" s="154" t="str">
        <f t="shared" si="7"/>
        <v>ok</v>
      </c>
    </row>
    <row r="35" spans="1:12" x14ac:dyDescent="0.25">
      <c r="A35" s="125" t="s">
        <v>2308</v>
      </c>
      <c r="B35" s="158" t="s">
        <v>2321</v>
      </c>
      <c r="C35" s="140"/>
      <c r="D35" s="286">
        <f>'Allocation ProForma'!K830+'Allocation ProForma'!K837</f>
        <v>-93296.389098720232</v>
      </c>
      <c r="E35" s="276">
        <v>0</v>
      </c>
      <c r="F35" s="276">
        <v>0</v>
      </c>
      <c r="G35" s="276">
        <v>0</v>
      </c>
      <c r="H35" s="276">
        <f>(H14/($I$14+$H$14)*$D$35)</f>
        <v>-82706.271338185164</v>
      </c>
      <c r="I35" s="276">
        <f>(I14/($I$14+$H$14)*$D$35)</f>
        <v>-10590.117760535068</v>
      </c>
      <c r="J35" s="276">
        <v>0</v>
      </c>
      <c r="K35" s="285">
        <f t="shared" si="8"/>
        <v>-93296.389098720232</v>
      </c>
      <c r="L35" s="154" t="str">
        <f t="shared" si="7"/>
        <v>ok</v>
      </c>
    </row>
    <row r="36" spans="1:12" x14ac:dyDescent="0.25">
      <c r="A36" s="159" t="s">
        <v>2310</v>
      </c>
      <c r="B36" s="158" t="s">
        <v>2322</v>
      </c>
      <c r="C36" s="140"/>
      <c r="D36" s="286">
        <f>'Allocation ProForma'!K831+'Allocation ProForma'!K832+'Allocation ProForma'!K833+'Allocation ProForma'!K834+'Allocation ProForma'!K835+'Allocation ProForma'!K836+'Allocation ProForma'!K838+'Allocation ProForma'!K840+'Allocation ProForma'!K841+'Allocation ProForma'!K843+'Allocation ProForma'!K844+'Allocation ProForma'!K845+'Allocation ProForma'!K846+'Allocation ProForma'!K847</f>
        <v>-1910572.2746705851</v>
      </c>
      <c r="E36" s="276">
        <f t="shared" ref="E36:J36" si="9">(E14/($D$14)*$D$36)</f>
        <v>-1483862.2888459326</v>
      </c>
      <c r="F36" s="276">
        <f t="shared" si="9"/>
        <v>-47910.90860430547</v>
      </c>
      <c r="G36" s="276">
        <f t="shared" si="9"/>
        <v>-196575.24711923051</v>
      </c>
      <c r="H36" s="276">
        <f t="shared" si="9"/>
        <v>-161290.06492071479</v>
      </c>
      <c r="I36" s="276">
        <f t="shared" si="9"/>
        <v>-20652.373193447318</v>
      </c>
      <c r="J36" s="276">
        <f t="shared" si="9"/>
        <v>-281.39198695441172</v>
      </c>
      <c r="K36" s="285">
        <f t="shared" si="8"/>
        <v>-1910572.2746705851</v>
      </c>
      <c r="L36" s="154" t="str">
        <f t="shared" si="7"/>
        <v>ok</v>
      </c>
    </row>
    <row r="37" spans="1:12" x14ac:dyDescent="0.25">
      <c r="A37" s="125"/>
      <c r="B37" s="158"/>
      <c r="D37" s="286"/>
      <c r="E37" s="276"/>
      <c r="F37" s="276"/>
      <c r="G37" s="276"/>
      <c r="H37" s="276"/>
      <c r="I37" s="276"/>
      <c r="J37" s="276"/>
      <c r="K37" s="285"/>
      <c r="L37" s="154"/>
    </row>
    <row r="38" spans="1:12" x14ac:dyDescent="0.25">
      <c r="A38" s="125" t="s">
        <v>2324</v>
      </c>
      <c r="B38" s="158" t="s">
        <v>2329</v>
      </c>
      <c r="C38" s="140"/>
      <c r="D38" s="286">
        <f>'Allocation ProForma'!K848</f>
        <v>-3249763.4182831082</v>
      </c>
      <c r="E38" s="276">
        <f>SUM(E32:E36)</f>
        <v>-1917685.8925006785</v>
      </c>
      <c r="F38" s="276">
        <f>SUM(F33:F36)</f>
        <v>-691178.81850349158</v>
      </c>
      <c r="G38" s="276">
        <f>SUM(G32:G36)</f>
        <v>-365378.48807910131</v>
      </c>
      <c r="H38" s="276">
        <f>SUM(H32:H36)</f>
        <v>-243996.33625889994</v>
      </c>
      <c r="I38" s="276">
        <f>SUM(I32:I36)</f>
        <v>-31242.490953982386</v>
      </c>
      <c r="J38" s="276">
        <f>SUM(J32:J36)</f>
        <v>-281.39198695441172</v>
      </c>
      <c r="K38" s="285">
        <f t="shared" si="8"/>
        <v>-3249763.4182831082</v>
      </c>
      <c r="L38" s="154" t="str">
        <f t="shared" si="7"/>
        <v>ok</v>
      </c>
    </row>
    <row r="39" spans="1:12" x14ac:dyDescent="0.25">
      <c r="A39" s="122"/>
      <c r="B39" s="158"/>
      <c r="C39" s="141"/>
      <c r="D39" s="289"/>
      <c r="E39" s="186"/>
      <c r="F39" s="186"/>
      <c r="G39" s="186"/>
      <c r="H39" s="186"/>
      <c r="I39" s="186"/>
      <c r="J39" s="186"/>
      <c r="K39" s="158"/>
      <c r="L39" s="155"/>
    </row>
    <row r="40" spans="1:12" x14ac:dyDescent="0.25">
      <c r="A40" s="125" t="s">
        <v>2325</v>
      </c>
      <c r="B40" s="158" t="s">
        <v>2304</v>
      </c>
      <c r="C40" s="157">
        <f>'Allocation ProForma'!K1028</f>
        <v>48994762.520800389</v>
      </c>
      <c r="D40" s="286">
        <f t="shared" ref="D40:J40" si="10">SUM(D28:D31)+D22+D26+D38+D24</f>
        <v>49259491.463072762</v>
      </c>
      <c r="E40" s="276">
        <f t="shared" si="10"/>
        <v>19391437.630461279</v>
      </c>
      <c r="F40" s="276">
        <f t="shared" si="10"/>
        <v>23844255.202750959</v>
      </c>
      <c r="G40" s="276">
        <f t="shared" si="10"/>
        <v>2877932.471248142</v>
      </c>
      <c r="H40" s="276">
        <f t="shared" si="10"/>
        <v>2564618.1162843467</v>
      </c>
      <c r="I40" s="276">
        <f t="shared" si="10"/>
        <v>457008.37823933893</v>
      </c>
      <c r="J40" s="276">
        <f t="shared" si="10"/>
        <v>124239.6640887002</v>
      </c>
      <c r="K40" s="285">
        <f>SUM(E40:J40)</f>
        <v>49259491.463072777</v>
      </c>
      <c r="L40" s="154" t="str">
        <f>IF(ABS(K40-D40)&lt;0.01,"ok","err")</f>
        <v>ok</v>
      </c>
    </row>
    <row r="41" spans="1:12" x14ac:dyDescent="0.25">
      <c r="A41" s="122"/>
      <c r="B41" s="158"/>
      <c r="C41" s="141"/>
      <c r="D41" s="290"/>
      <c r="E41" s="186"/>
      <c r="F41" s="186"/>
      <c r="G41" s="186"/>
      <c r="H41" s="186"/>
      <c r="I41" s="186"/>
      <c r="J41" s="186"/>
      <c r="K41" s="158"/>
      <c r="L41" s="155"/>
    </row>
    <row r="42" spans="1:12" x14ac:dyDescent="0.25">
      <c r="A42" s="125" t="s">
        <v>2326</v>
      </c>
      <c r="B42" s="158" t="s">
        <v>2347</v>
      </c>
      <c r="C42" s="140"/>
      <c r="D42" s="286">
        <f>-'Allocation ProForma'!K661</f>
        <v>-365937.66644333489</v>
      </c>
      <c r="E42" s="276"/>
      <c r="F42" s="276">
        <v>0</v>
      </c>
      <c r="G42" s="276">
        <f>D42</f>
        <v>-365937.66644333489</v>
      </c>
      <c r="H42" s="276">
        <v>0</v>
      </c>
      <c r="I42" s="276">
        <v>0</v>
      </c>
      <c r="J42" s="276">
        <v>0</v>
      </c>
      <c r="K42" s="285">
        <f>SUM(E42:J42)</f>
        <v>-365937.66644333489</v>
      </c>
      <c r="L42" s="154" t="str">
        <f>IF(ABS(K42-D42)&lt;0.01,"ok","err")</f>
        <v>ok</v>
      </c>
    </row>
    <row r="43" spans="1:12" x14ac:dyDescent="0.25">
      <c r="A43" s="125" t="s">
        <v>2327</v>
      </c>
      <c r="B43" s="158" t="s">
        <v>2330</v>
      </c>
      <c r="C43" s="140"/>
      <c r="D43" s="286">
        <f>-('Allocation ProForma'!K654+'Allocation ProForma'!K655+'Allocation ProForma'!K656)</f>
        <v>-1106241.39858275</v>
      </c>
      <c r="E43" s="276">
        <v>0</v>
      </c>
      <c r="F43" s="276">
        <f>D43</f>
        <v>-1106241.39858275</v>
      </c>
      <c r="G43" s="276">
        <v>0</v>
      </c>
      <c r="H43" s="276">
        <v>0</v>
      </c>
      <c r="I43" s="276">
        <v>0</v>
      </c>
      <c r="J43" s="276">
        <v>0</v>
      </c>
      <c r="K43" s="285">
        <f>SUM(E43:J43)</f>
        <v>-1106241.39858275</v>
      </c>
      <c r="L43" s="154" t="str">
        <f>IF(ABS(K43-D43)&lt;0.01,"ok","err")</f>
        <v>ok</v>
      </c>
    </row>
    <row r="44" spans="1:12" x14ac:dyDescent="0.25">
      <c r="A44" s="125" t="s">
        <v>2328</v>
      </c>
      <c r="B44" s="158" t="s">
        <v>2331</v>
      </c>
      <c r="C44" s="140"/>
      <c r="D44" s="286">
        <f>-('Allocation ProForma'!K652+'Allocation ProForma'!K653+'Allocation ProForma'!K657+'Allocation ProForma'!K658+'Allocation ProForma'!K659+'Allocation ProForma'!K660+'Allocation ProForma'!K662+'Allocation ProForma'!K663+'Allocation ProForma'!K664+'Allocation ProForma'!K665+'Allocation ProForma'!K666)</f>
        <v>-184249.42645000081</v>
      </c>
      <c r="E44" s="276">
        <f t="shared" ref="E44:J44" si="11">(E14/($D$14)*$D$44)</f>
        <v>-143098.89203107348</v>
      </c>
      <c r="F44" s="276">
        <f t="shared" si="11"/>
        <v>-4620.3734598649044</v>
      </c>
      <c r="G44" s="276">
        <f t="shared" si="11"/>
        <v>-18957.082658508767</v>
      </c>
      <c r="H44" s="276">
        <f t="shared" si="11"/>
        <v>-15554.293521216785</v>
      </c>
      <c r="I44" s="276">
        <f t="shared" si="11"/>
        <v>-1991.6482439169274</v>
      </c>
      <c r="J44" s="276">
        <f t="shared" si="11"/>
        <v>-27.136535419951937</v>
      </c>
      <c r="K44" s="285">
        <f>SUM(E44:J44)</f>
        <v>-184249.42645000081</v>
      </c>
      <c r="L44" s="154" t="str">
        <f>IF(ABS(K44-D44)&lt;0.01,"ok","err")</f>
        <v>ok</v>
      </c>
    </row>
    <row r="45" spans="1:12" x14ac:dyDescent="0.25">
      <c r="A45" s="125" t="s">
        <v>2332</v>
      </c>
      <c r="B45" s="158" t="s">
        <v>2334</v>
      </c>
      <c r="C45" s="140"/>
      <c r="D45" s="286">
        <f>SUM(D42:D44)</f>
        <v>-1656428.4914760857</v>
      </c>
      <c r="E45" s="276">
        <f t="shared" ref="E45:J45" si="12">SUM(E42:E44)</f>
        <v>-143098.89203107348</v>
      </c>
      <c r="F45" s="276">
        <f t="shared" si="12"/>
        <v>-1110861.7720426149</v>
      </c>
      <c r="G45" s="276">
        <f t="shared" si="12"/>
        <v>-384894.74910184368</v>
      </c>
      <c r="H45" s="276">
        <f t="shared" si="12"/>
        <v>-15554.293521216785</v>
      </c>
      <c r="I45" s="276">
        <f t="shared" si="12"/>
        <v>-1991.6482439169274</v>
      </c>
      <c r="J45" s="276">
        <f t="shared" si="12"/>
        <v>-27.136535419951937</v>
      </c>
      <c r="K45" s="285">
        <f>SUM(E45:J45)</f>
        <v>-1656428.4914760857</v>
      </c>
      <c r="L45" s="154" t="str">
        <f>IF(ABS(K45-D45)&lt;0.01,"ok","err")</f>
        <v>ok</v>
      </c>
    </row>
    <row r="46" spans="1:12" x14ac:dyDescent="0.25">
      <c r="A46" s="122"/>
      <c r="B46" s="158"/>
      <c r="D46" s="287"/>
      <c r="E46" s="186"/>
      <c r="F46" s="186"/>
      <c r="G46" s="186"/>
      <c r="H46" s="186"/>
      <c r="I46" s="186"/>
      <c r="J46" s="186"/>
      <c r="K46" s="158"/>
      <c r="L46" s="155"/>
    </row>
    <row r="47" spans="1:12" x14ac:dyDescent="0.25">
      <c r="A47" s="125" t="s">
        <v>2333</v>
      </c>
      <c r="B47" s="158" t="s">
        <v>2307</v>
      </c>
      <c r="C47" s="39">
        <f>'Allocation ProForma'!K1028-SUM('Allocation ProForma'!K652:K666)</f>
        <v>47338334.029324301</v>
      </c>
      <c r="D47" s="286">
        <f t="shared" ref="D47:J47" si="13">D40+D45</f>
        <v>47603062.971596673</v>
      </c>
      <c r="E47" s="276">
        <f t="shared" si="13"/>
        <v>19248338.738430206</v>
      </c>
      <c r="F47" s="276">
        <f t="shared" si="13"/>
        <v>22733393.430708345</v>
      </c>
      <c r="G47" s="276">
        <f t="shared" si="13"/>
        <v>2493037.7221462983</v>
      </c>
      <c r="H47" s="276">
        <f t="shared" si="13"/>
        <v>2549063.8227631301</v>
      </c>
      <c r="I47" s="276">
        <f t="shared" si="13"/>
        <v>455016.72999542201</v>
      </c>
      <c r="J47" s="276">
        <f t="shared" si="13"/>
        <v>124212.52755328025</v>
      </c>
      <c r="K47" s="285">
        <f>SUM(E47:J47)</f>
        <v>47603062.971596681</v>
      </c>
      <c r="L47" s="154" t="str">
        <f>IF(ABS(K47-D47)&lt;0.01,"ok","err")</f>
        <v>ok</v>
      </c>
    </row>
    <row r="48" spans="1:12" x14ac:dyDescent="0.25">
      <c r="A48" s="122"/>
      <c r="B48" s="158"/>
      <c r="C48" s="141"/>
      <c r="D48" s="289"/>
      <c r="E48" s="186"/>
      <c r="F48" s="186"/>
      <c r="G48" s="186"/>
      <c r="H48" s="186"/>
      <c r="I48" s="186"/>
      <c r="J48" s="186"/>
      <c r="K48" s="158"/>
      <c r="L48" s="155"/>
    </row>
    <row r="49" spans="1:12" x14ac:dyDescent="0.25">
      <c r="A49" s="125" t="s">
        <v>2339</v>
      </c>
      <c r="B49" s="158" t="s">
        <v>2309</v>
      </c>
      <c r="C49" s="140"/>
      <c r="D49" s="291"/>
      <c r="E49" s="281">
        <v>1379179</v>
      </c>
      <c r="F49" s="281">
        <f>'Allocation ProForma'!$K$1121</f>
        <v>723169766</v>
      </c>
      <c r="G49" s="281">
        <f>E49</f>
        <v>1379179</v>
      </c>
      <c r="H49" s="281">
        <f>E49</f>
        <v>1379179</v>
      </c>
      <c r="I49" s="281">
        <f>'Allocation ProForma'!$K$1136*12</f>
        <v>3576</v>
      </c>
      <c r="J49" s="281">
        <f>'Allocation ProForma'!$K$1136*12</f>
        <v>3576</v>
      </c>
      <c r="K49" s="158"/>
      <c r="L49" s="155"/>
    </row>
    <row r="50" spans="1:12" ht="15.75" thickBot="1" x14ac:dyDescent="0.3">
      <c r="A50" s="122"/>
      <c r="B50" s="158"/>
      <c r="C50" s="141"/>
      <c r="D50" s="287"/>
      <c r="E50" s="186"/>
      <c r="F50" s="186"/>
      <c r="G50" s="186"/>
      <c r="H50" s="186"/>
      <c r="I50" s="186"/>
      <c r="J50" s="186"/>
      <c r="K50" s="158"/>
      <c r="L50" s="155"/>
    </row>
    <row r="51" spans="1:12" ht="15.75" thickBot="1" x14ac:dyDescent="0.3">
      <c r="A51" s="127" t="s">
        <v>2340</v>
      </c>
      <c r="B51" s="306" t="s">
        <v>2311</v>
      </c>
      <c r="C51" s="142"/>
      <c r="D51" s="151"/>
      <c r="E51" s="297">
        <f t="shared" ref="E51:J51" si="14">E47/E49</f>
        <v>13.956374581131387</v>
      </c>
      <c r="F51" s="309">
        <f t="shared" si="14"/>
        <v>3.1435763080156678E-2</v>
      </c>
      <c r="G51" s="297">
        <f t="shared" si="14"/>
        <v>1.8076244795971359</v>
      </c>
      <c r="H51" s="297">
        <f t="shared" si="14"/>
        <v>1.848247270849636</v>
      </c>
      <c r="I51" s="297">
        <f>I47/I49</f>
        <v>127.24181487567729</v>
      </c>
      <c r="J51" s="297">
        <f t="shared" si="14"/>
        <v>34.735046854944144</v>
      </c>
      <c r="K51" s="270">
        <f>I51+J51</f>
        <v>161.97686173062144</v>
      </c>
      <c r="L51" s="156"/>
    </row>
    <row r="53" spans="1:12" x14ac:dyDescent="0.25">
      <c r="J53" s="163" t="s">
        <v>2349</v>
      </c>
      <c r="K53" s="267">
        <f>I51+J51</f>
        <v>161.97686173062144</v>
      </c>
    </row>
    <row r="54" spans="1:12" x14ac:dyDescent="0.25">
      <c r="J54" s="163" t="s">
        <v>2348</v>
      </c>
      <c r="K54" s="307">
        <f>F51</f>
        <v>3.1435763080156678E-2</v>
      </c>
    </row>
    <row r="55" spans="1:12" x14ac:dyDescent="0.25">
      <c r="J55" s="163" t="s">
        <v>2802</v>
      </c>
      <c r="K55" s="268">
        <f>E51+G51+H51</f>
        <v>17.612246331578159</v>
      </c>
    </row>
    <row r="57" spans="1:12" x14ac:dyDescent="0.25">
      <c r="J57" s="163" t="s">
        <v>1754</v>
      </c>
      <c r="K57" s="268">
        <f>K53</f>
        <v>161.97686173062144</v>
      </c>
    </row>
    <row r="58" spans="1:12" ht="15.75" thickBot="1" x14ac:dyDescent="0.3">
      <c r="J58" s="163" t="s">
        <v>2800</v>
      </c>
      <c r="K58" s="269">
        <f>((I47+J47)*D18)/J49</f>
        <v>16.512364871620896</v>
      </c>
    </row>
    <row r="59" spans="1:12" ht="15.75" thickBot="1" x14ac:dyDescent="0.3">
      <c r="K59" s="270">
        <f>SUM(K57:K58)</f>
        <v>178.48922660224233</v>
      </c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0.75" bottom="0.75" header="0.3" footer="0.3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20</vt:i4>
      </vt:variant>
    </vt:vector>
  </HeadingPairs>
  <TitlesOfParts>
    <vt:vector size="38" baseType="lpstr">
      <vt:lpstr>Jurisdictional Study</vt:lpstr>
      <vt:lpstr>Functional Assignment</vt:lpstr>
      <vt:lpstr>Allocation ProForma</vt:lpstr>
      <vt:lpstr>Summary of Returns</vt:lpstr>
      <vt:lpstr>Res Unit Costs</vt:lpstr>
      <vt:lpstr>GS Unit Costs</vt:lpstr>
      <vt:lpstr>AES Unit Costs</vt:lpstr>
      <vt:lpstr>PSS Unit Costs</vt:lpstr>
      <vt:lpstr>PSP Unit Costs</vt:lpstr>
      <vt:lpstr>TODS Unit Costs</vt:lpstr>
      <vt:lpstr>TODP Unit Costs</vt:lpstr>
      <vt:lpstr>RTS Unit Costs</vt:lpstr>
      <vt:lpstr>FLS Unit Costs</vt:lpstr>
      <vt:lpstr>Billing Det</vt:lpstr>
      <vt:lpstr>Meters</vt:lpstr>
      <vt:lpstr>Services</vt:lpstr>
      <vt:lpstr>Lighting</vt:lpstr>
      <vt:lpstr>Customer Accounting</vt:lpstr>
      <vt:lpstr>'AES Unit Costs'!Print_Area</vt:lpstr>
      <vt:lpstr>'Allocation ProForma'!Print_Area</vt:lpstr>
      <vt:lpstr>'Billing Det'!Print_Area</vt:lpstr>
      <vt:lpstr>'FLS Unit Costs'!Print_Area</vt:lpstr>
      <vt:lpstr>'Functional Assignment'!Print_Area</vt:lpstr>
      <vt:lpstr>'GS Unit Costs'!Print_Area</vt:lpstr>
      <vt:lpstr>'Jurisdictional Study'!Print_Area</vt:lpstr>
      <vt:lpstr>Meters!Print_Area</vt:lpstr>
      <vt:lpstr>'PSP Unit Costs'!Print_Area</vt:lpstr>
      <vt:lpstr>'PSS Unit Costs'!Print_Area</vt:lpstr>
      <vt:lpstr>'Res Unit Costs'!Print_Area</vt:lpstr>
      <vt:lpstr>'RTS Unit Costs'!Print_Area</vt:lpstr>
      <vt:lpstr>Services!Print_Area</vt:lpstr>
      <vt:lpstr>'Summary of Returns'!Print_Area</vt:lpstr>
      <vt:lpstr>'TODP Unit Costs'!Print_Area</vt:lpstr>
      <vt:lpstr>'TODS Unit Costs'!Print_Area</vt:lpstr>
      <vt:lpstr>'Allocation ProForma'!Print_Titles</vt:lpstr>
      <vt:lpstr>'Billing Det'!Print_Titles</vt:lpstr>
      <vt:lpstr>'Functional Assignment'!Print_Titles</vt:lpstr>
      <vt:lpstr>'Jurisdictional Study'!Print_Titles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Wernert, Jeff</dc:creator>
  <cp:lastModifiedBy>Foxworthy, Carol</cp:lastModifiedBy>
  <cp:lastPrinted>2012-09-07T18:54:07Z</cp:lastPrinted>
  <dcterms:created xsi:type="dcterms:W3CDTF">1999-02-10T22:20:33Z</dcterms:created>
  <dcterms:modified xsi:type="dcterms:W3CDTF">2012-09-08T16:09:01Z</dcterms:modified>
</cp:coreProperties>
</file>