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730" yWindow="270" windowWidth="18075" windowHeight="10230" tabRatio="849" activeTab="2"/>
  </bookViews>
  <sheets>
    <sheet name="Summary" sheetId="18" r:id="rId1"/>
    <sheet name="KU Exhibits==&gt;" sheetId="24" r:id="rId2"/>
    <sheet name="KU Conroy Exhibit M5" sheetId="8" r:id="rId3"/>
    <sheet name="KU Conroy Exhibit M6" sheetId="2" r:id="rId4"/>
    <sheet name="LGE Exhibits==&gt;" sheetId="25" r:id="rId5"/>
    <sheet name="LG&amp;E Disconnect Reconnect ExhM8" sheetId="5" r:id="rId6"/>
    <sheet name="LG&amp;E-E Meter Test M6" sheetId="7" r:id="rId7"/>
    <sheet name="LG&amp;E-G Meter Test M7" sheetId="9" r:id="rId8"/>
    <sheet name="LG&amp;E-G Inspection Charge M12" sheetId="23" r:id="rId9"/>
    <sheet name="Data" sheetId="4" r:id="rId10"/>
    <sheet name="Cost Per Order Type" sheetId="20" r:id="rId11"/>
  </sheets>
  <externalReferences>
    <externalReference r:id="rId12"/>
  </externalReferences>
  <definedNames>
    <definedName name="_xlnm.Print_Area" localSheetId="2">'KU Conroy Exhibit M5'!$A$1:$B$37</definedName>
    <definedName name="_xlnm.Print_Area" localSheetId="3">'KU Conroy Exhibit M6'!$A$1:$B$27</definedName>
    <definedName name="_xlnm.Print_Area" localSheetId="5">'LG&amp;E Disconnect Reconnect ExhM8'!$A$1:$B$27</definedName>
    <definedName name="_xlnm.Print_Area" localSheetId="6">'LG&amp;E-E Meter Test M6'!$A$1:$B$37</definedName>
    <definedName name="_xlnm.Print_Area" localSheetId="8">'LG&amp;E-G Inspection Charge M12'!$A$1:$B$31</definedName>
    <definedName name="_xlnm.Print_Area" localSheetId="7">'LG&amp;E-G Meter Test M7'!$A$1:$B$31</definedName>
    <definedName name="WACC">'[1]LookUp Ranges'!$L$12</definedName>
  </definedNames>
  <calcPr calcId="145621"/>
</workbook>
</file>

<file path=xl/calcChain.xml><?xml version="1.0" encoding="utf-8"?>
<calcChain xmlns="http://schemas.openxmlformats.org/spreadsheetml/2006/main">
  <c r="F28" i="18" l="1"/>
  <c r="H11" i="18" l="1"/>
  <c r="H10" i="18"/>
  <c r="H9" i="18"/>
  <c r="H28" i="18"/>
  <c r="H27" i="18"/>
  <c r="H26" i="18"/>
  <c r="H20" i="18"/>
  <c r="H19" i="18"/>
  <c r="H18" i="18"/>
  <c r="B16" i="23" l="1"/>
  <c r="C29" i="4"/>
  <c r="C28" i="4"/>
  <c r="B15" i="23" s="1"/>
  <c r="C32" i="4" l="1"/>
  <c r="B17" i="23"/>
  <c r="F20" i="18" s="1"/>
  <c r="E8" i="4" l="1"/>
  <c r="D8" i="4"/>
  <c r="A21" i="7" s="1"/>
  <c r="B17" i="4"/>
  <c r="C9" i="4" l="1"/>
  <c r="C10" i="4" s="1"/>
  <c r="E9" i="4"/>
  <c r="E10" i="4" l="1"/>
  <c r="A21" i="8"/>
  <c r="E20" i="20"/>
  <c r="D20" i="20"/>
  <c r="E16" i="20"/>
  <c r="D16" i="20"/>
  <c r="B8" i="20"/>
  <c r="F7" i="20"/>
  <c r="C19" i="20" s="1"/>
  <c r="G19" i="20" s="1"/>
  <c r="E7" i="20"/>
  <c r="B19" i="20" s="1"/>
  <c r="F19" i="20" s="1"/>
  <c r="F6" i="20"/>
  <c r="C18" i="20" s="1"/>
  <c r="G18" i="20" s="1"/>
  <c r="E6" i="20"/>
  <c r="B18" i="20" s="1"/>
  <c r="F18" i="20" s="1"/>
  <c r="B4" i="20"/>
  <c r="F3" i="20"/>
  <c r="E3" i="20"/>
  <c r="B15" i="20" s="1"/>
  <c r="F15" i="20" s="1"/>
  <c r="F2" i="20"/>
  <c r="C14" i="20" s="1"/>
  <c r="G14" i="20" s="1"/>
  <c r="E2" i="20"/>
  <c r="B15" i="8"/>
  <c r="B15" i="7"/>
  <c r="B16" i="9"/>
  <c r="B15" i="9"/>
  <c r="F4" i="20" l="1"/>
  <c r="C16" i="20" s="1"/>
  <c r="D21" i="20"/>
  <c r="E4" i="20"/>
  <c r="B16" i="20" s="1"/>
  <c r="B30" i="8"/>
  <c r="B31" i="8" s="1"/>
  <c r="B32" i="8" s="1"/>
  <c r="B16" i="7"/>
  <c r="B17" i="7" s="1"/>
  <c r="F10" i="18" s="1"/>
  <c r="B33" i="8"/>
  <c r="B33" i="7"/>
  <c r="B16" i="8"/>
  <c r="B17" i="8" s="1"/>
  <c r="F27" i="18" s="1"/>
  <c r="B17" i="9"/>
  <c r="F19" i="18" s="1"/>
  <c r="B30" i="7"/>
  <c r="B31" i="7" s="1"/>
  <c r="B32" i="7" s="1"/>
  <c r="E21" i="20"/>
  <c r="F11" i="18"/>
  <c r="B14" i="20"/>
  <c r="F14" i="20" s="1"/>
  <c r="G16" i="20"/>
  <c r="F16" i="20"/>
  <c r="F8" i="20"/>
  <c r="C20" i="20" s="1"/>
  <c r="G20" i="20" s="1"/>
  <c r="C15" i="20"/>
  <c r="G15" i="20" s="1"/>
  <c r="E8" i="20"/>
  <c r="B20" i="20" s="1"/>
  <c r="F20" i="20" s="1"/>
  <c r="B15" i="5" l="1"/>
  <c r="A21" i="5"/>
  <c r="B15" i="2"/>
  <c r="B16" i="2" s="1"/>
  <c r="A21" i="2"/>
  <c r="B34" i="8"/>
  <c r="B34" i="7"/>
  <c r="B17" i="2"/>
  <c r="F26" i="18" s="1"/>
  <c r="C21" i="20"/>
  <c r="G21" i="20" s="1"/>
  <c r="B21" i="20"/>
  <c r="F21" i="20" s="1"/>
  <c r="B16" i="5" l="1"/>
  <c r="B17" i="5"/>
  <c r="F9" i="18" l="1"/>
  <c r="F18" i="18"/>
</calcChain>
</file>

<file path=xl/sharedStrings.xml><?xml version="1.0" encoding="utf-8"?>
<sst xmlns="http://schemas.openxmlformats.org/spreadsheetml/2006/main" count="136" uniqueCount="76">
  <si>
    <t>LG&amp;E</t>
  </si>
  <si>
    <t>KU</t>
  </si>
  <si>
    <t>Disconnect Service</t>
  </si>
  <si>
    <t>Reconnect Service</t>
  </si>
  <si>
    <t>Kentucky Utilities Company</t>
  </si>
  <si>
    <t>Total Charge</t>
  </si>
  <si>
    <t>Disconnect/Reconnect</t>
  </si>
  <si>
    <t>Cost Justification</t>
  </si>
  <si>
    <t>Labor - One Hour</t>
  </si>
  <si>
    <t>Louisville Gas and Electric Company</t>
  </si>
  <si>
    <t>Electric Meter Test</t>
  </si>
  <si>
    <t>Meter Test labor</t>
  </si>
  <si>
    <t>Drive time Labor</t>
  </si>
  <si>
    <t>Customer Contact labor</t>
  </si>
  <si>
    <t>Meter Test T&amp;E</t>
  </si>
  <si>
    <t>Gas Meter Test</t>
  </si>
  <si>
    <t>Vehicle - 2/3 Hour</t>
  </si>
  <si>
    <t xml:space="preserve">Labor </t>
  </si>
  <si>
    <t>Meter Test</t>
  </si>
  <si>
    <t>Detail</t>
  </si>
  <si>
    <t>Avg Gas Meter changout cost 1.333 hrs</t>
  </si>
  <si>
    <t>Avg Gas meter test costs 1 hour</t>
  </si>
  <si>
    <t>Contractor costs to test gas meter.  Costs include travel, set-up, turning off and on gas service, turning off and relighting customer's gas appliances, removing gas meter and installing new meter and meter testing.</t>
  </si>
  <si>
    <t>RAW</t>
  </si>
  <si>
    <t>BURDENED</t>
  </si>
  <si>
    <t>Burden Rate</t>
  </si>
  <si>
    <t>Miscellaneous Charge</t>
  </si>
  <si>
    <t>LG&amp;E - Electric</t>
  </si>
  <si>
    <t>LG&amp;E - Gas</t>
  </si>
  <si>
    <t>Disconnect/Reconnect Charge</t>
  </si>
  <si>
    <t>Meter-Test Charge</t>
  </si>
  <si>
    <t>Third-Trip Inspection Charge</t>
  </si>
  <si>
    <t>Meter Pulse Relaying</t>
  </si>
  <si>
    <t>Current</t>
  </si>
  <si>
    <t>Proposed</t>
  </si>
  <si>
    <t>4/1/11 - 3/31/2012   EXPENSES</t>
  </si>
  <si>
    <t>Service %</t>
  </si>
  <si>
    <t>Credit %</t>
  </si>
  <si>
    <t>Service $</t>
  </si>
  <si>
    <t>Credit $</t>
  </si>
  <si>
    <t>LGE FTES</t>
  </si>
  <si>
    <t>LGE CONTRACTORS</t>
  </si>
  <si>
    <t>TOTAL</t>
  </si>
  <si>
    <t>KU FTES</t>
  </si>
  <si>
    <t>KU CONTRACTORS</t>
  </si>
  <si>
    <t>ZTRC times double for LGE because 2 techs work each ZTRC</t>
  </si>
  <si>
    <t>Burdened Costs by Order Type</t>
  </si>
  <si>
    <t>Mobile Retail Reporting (techs only)</t>
  </si>
  <si>
    <t>Cost per Order Type</t>
  </si>
  <si>
    <t># Srv Ords</t>
  </si>
  <si>
    <t># Cred Ords</t>
  </si>
  <si>
    <t>$ / Srv Ord</t>
  </si>
  <si>
    <t>$ / Crd Ord</t>
  </si>
  <si>
    <t>GRAND TOTALS</t>
  </si>
  <si>
    <t>Updated for March 2012</t>
  </si>
  <si>
    <t>2012 Labor hourly rate at 3/31 IBEW</t>
  </si>
  <si>
    <t>2012 Labor hourly rate at 3/31 NON-UNION</t>
  </si>
  <si>
    <t>2012 Labor hourly rate at 3/31 USWA</t>
  </si>
  <si>
    <t>2011 Avg Light Duty Pickup hourly rate</t>
  </si>
  <si>
    <t>2011 Avg Service Van hourly rate</t>
  </si>
  <si>
    <t>2011 Avg Vehicle</t>
  </si>
  <si>
    <t>Based on the 12 Months Ended March 31, 2012</t>
  </si>
  <si>
    <t>Summary of Increases (Decreases) to Special Charges</t>
  </si>
  <si>
    <t>Gas Inspection Charge</t>
  </si>
  <si>
    <t>Raw</t>
  </si>
  <si>
    <t>Burdened</t>
  </si>
  <si>
    <t>Lge Crew Leader</t>
  </si>
  <si>
    <t>LGE Mechanic</t>
  </si>
  <si>
    <t>Truck</t>
  </si>
  <si>
    <t xml:space="preserve">Total for one hour </t>
  </si>
  <si>
    <t>trip</t>
  </si>
  <si>
    <t>Labor and transportation costs to inspect gas service.  Costs include travel, set-up, turning off and on gas service, and relighting customer's gas appliances.</t>
  </si>
  <si>
    <t>Transportation</t>
  </si>
  <si>
    <t>Actual</t>
  </si>
  <si>
    <t xml:space="preserve">Proposed Change Inc/(Dec) 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</si>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</sst>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&quot;$&quot;* #,##0.00_);_(&quot;$&quot;* \(#,##0.00\);_(&quot;$&quot;* &quot;-&quot;_);_(* @_)"/>
    <numFmt numFmtId="166" formatCode="_(* #,##0.00000_);_(* \(#,##0.0000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2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32">
    <xf numFmtId="0" fontId="0" fillId="0" borderId="0" xfId="0"/>
    <xf numFmtId="43" fontId="0" fillId="0" borderId="0" xfId="1" applyFont="1"/>
    <xf numFmtId="0" fontId="0" fillId="0" borderId="0" xfId="0" quotePrefix="1" applyAlignment="1">
      <alignment horizontal="left"/>
    </xf>
    <xf numFmtId="43" fontId="2" fillId="0" borderId="0" xfId="1"/>
    <xf numFmtId="43" fontId="2" fillId="0" borderId="0" xfId="1" applyFont="1"/>
    <xf numFmtId="0" fontId="2" fillId="0" borderId="1" xfId="0" applyFont="1" applyBorder="1" applyAlignment="1">
      <alignment horizontal="center"/>
    </xf>
    <xf numFmtId="43" fontId="0" fillId="0" borderId="0" xfId="0" applyNumberFormat="1"/>
    <xf numFmtId="0" fontId="0" fillId="0" borderId="0" xfId="0" applyBorder="1"/>
    <xf numFmtId="0" fontId="0" fillId="0" borderId="0" xfId="0" applyAlignment="1">
      <alignment horizontal="left"/>
    </xf>
    <xf numFmtId="2" fontId="0" fillId="0" borderId="0" xfId="0" applyNumberFormat="1"/>
    <xf numFmtId="0" fontId="5" fillId="0" borderId="0" xfId="5" applyFont="1"/>
    <xf numFmtId="0" fontId="6" fillId="0" borderId="0" xfId="5"/>
    <xf numFmtId="0" fontId="5" fillId="0" borderId="3" xfId="5" applyFont="1" applyBorder="1"/>
    <xf numFmtId="0" fontId="6" fillId="0" borderId="3" xfId="5" applyBorder="1"/>
    <xf numFmtId="44" fontId="6" fillId="0" borderId="0" xfId="5" applyNumberFormat="1" applyBorder="1"/>
    <xf numFmtId="43" fontId="0" fillId="0" borderId="0" xfId="2" applyFont="1"/>
    <xf numFmtId="44" fontId="6" fillId="0" borderId="0" xfId="5" applyNumberFormat="1"/>
    <xf numFmtId="0" fontId="7" fillId="0" borderId="0" xfId="5" applyFont="1" applyAlignment="1">
      <alignment horizontal="center"/>
    </xf>
    <xf numFmtId="0" fontId="7" fillId="0" borderId="0" xfId="5" applyFont="1"/>
    <xf numFmtId="0" fontId="2" fillId="0" borderId="0" xfId="8" applyFont="1" applyAlignment="1">
      <alignment horizontal="center"/>
    </xf>
    <xf numFmtId="0" fontId="5" fillId="0" borderId="4" xfId="8" applyFont="1" applyBorder="1" applyAlignment="1">
      <alignment horizontal="center"/>
    </xf>
    <xf numFmtId="0" fontId="5" fillId="0" borderId="5" xfId="8" applyFont="1" applyBorder="1" applyAlignment="1">
      <alignment horizontal="center"/>
    </xf>
    <xf numFmtId="0" fontId="2" fillId="0" borderId="0" xfId="8" applyFont="1"/>
    <xf numFmtId="0" fontId="2" fillId="0" borderId="0" xfId="8"/>
    <xf numFmtId="0" fontId="5" fillId="0" borderId="6" xfId="8" applyFont="1" applyBorder="1"/>
    <xf numFmtId="165" fontId="2" fillId="0" borderId="6" xfId="9" applyNumberFormat="1" applyFont="1" applyBorder="1"/>
    <xf numFmtId="10" fontId="2" fillId="0" borderId="0" xfId="10" applyNumberFormat="1" applyFont="1" applyAlignment="1">
      <alignment horizontal="center"/>
    </xf>
    <xf numFmtId="44" fontId="2" fillId="0" borderId="7" xfId="8" applyNumberFormat="1" applyFont="1" applyBorder="1" applyAlignment="1">
      <alignment horizontal="center"/>
    </xf>
    <xf numFmtId="44" fontId="2" fillId="0" borderId="8" xfId="8" applyNumberFormat="1" applyFont="1" applyBorder="1" applyAlignment="1">
      <alignment horizontal="center"/>
    </xf>
    <xf numFmtId="44" fontId="2" fillId="0" borderId="9" xfId="8" applyNumberFormat="1" applyFont="1" applyBorder="1" applyAlignment="1">
      <alignment horizontal="center"/>
    </xf>
    <xf numFmtId="44" fontId="2" fillId="0" borderId="10" xfId="8" applyNumberFormat="1" applyFont="1" applyBorder="1" applyAlignment="1">
      <alignment horizontal="center"/>
    </xf>
    <xf numFmtId="165" fontId="5" fillId="0" borderId="6" xfId="8" applyNumberFormat="1" applyFont="1" applyBorder="1"/>
    <xf numFmtId="44" fontId="5" fillId="0" borderId="7" xfId="8" applyNumberFormat="1" applyFont="1" applyBorder="1" applyAlignment="1">
      <alignment horizontal="center"/>
    </xf>
    <xf numFmtId="44" fontId="5" fillId="0" borderId="8" xfId="8" applyNumberFormat="1" applyFont="1" applyBorder="1" applyAlignment="1">
      <alignment horizontal="center"/>
    </xf>
    <xf numFmtId="44" fontId="2" fillId="0" borderId="0" xfId="8" applyNumberFormat="1" applyFont="1"/>
    <xf numFmtId="0" fontId="5" fillId="0" borderId="0" xfId="8" applyFont="1"/>
    <xf numFmtId="0" fontId="2" fillId="0" borderId="7" xfId="8" applyFont="1" applyBorder="1"/>
    <xf numFmtId="0" fontId="2" fillId="0" borderId="8" xfId="8" applyFont="1" applyBorder="1"/>
    <xf numFmtId="44" fontId="2" fillId="0" borderId="7" xfId="8" applyNumberFormat="1" applyFont="1" applyBorder="1"/>
    <xf numFmtId="44" fontId="2" fillId="0" borderId="8" xfId="8" applyNumberFormat="1" applyFont="1" applyBorder="1"/>
    <xf numFmtId="44" fontId="2" fillId="0" borderId="9" xfId="8" applyNumberFormat="1" applyFont="1" applyBorder="1"/>
    <xf numFmtId="44" fontId="2" fillId="0" borderId="10" xfId="8" applyNumberFormat="1" applyFont="1" applyBorder="1"/>
    <xf numFmtId="44" fontId="5" fillId="0" borderId="9" xfId="8" applyNumberFormat="1" applyFont="1" applyBorder="1"/>
    <xf numFmtId="44" fontId="5" fillId="0" borderId="10" xfId="8" applyNumberFormat="1" applyFont="1" applyBorder="1"/>
    <xf numFmtId="0" fontId="2" fillId="0" borderId="4" xfId="8" applyFont="1" applyBorder="1"/>
    <xf numFmtId="0" fontId="5" fillId="0" borderId="14" xfId="8" applyFont="1" applyBorder="1" applyAlignment="1">
      <alignment horizontal="center"/>
    </xf>
    <xf numFmtId="0" fontId="5" fillId="0" borderId="15" xfId="8" applyFont="1" applyBorder="1" applyAlignment="1">
      <alignment horizontal="center"/>
    </xf>
    <xf numFmtId="0" fontId="5" fillId="0" borderId="16" xfId="8" applyFont="1" applyBorder="1" applyAlignment="1">
      <alignment horizontal="center"/>
    </xf>
    <xf numFmtId="0" fontId="5" fillId="0" borderId="17" xfId="8" applyFont="1" applyBorder="1" applyAlignment="1">
      <alignment horizontal="center"/>
    </xf>
    <xf numFmtId="0" fontId="5" fillId="0" borderId="18" xfId="8" applyFont="1" applyBorder="1" applyAlignment="1">
      <alignment horizontal="center"/>
    </xf>
    <xf numFmtId="0" fontId="5" fillId="2" borderId="19" xfId="8" applyFont="1" applyFill="1" applyBorder="1"/>
    <xf numFmtId="44" fontId="2" fillId="2" borderId="20" xfId="8" applyNumberFormat="1" applyFont="1" applyFill="1" applyBorder="1" applyAlignment="1">
      <alignment horizontal="center"/>
    </xf>
    <xf numFmtId="44" fontId="2" fillId="2" borderId="6" xfId="8" applyNumberFormat="1" applyFont="1" applyFill="1" applyBorder="1" applyAlignment="1">
      <alignment horizontal="center"/>
    </xf>
    <xf numFmtId="0" fontId="2" fillId="2" borderId="14" xfId="8" applyFont="1" applyFill="1" applyBorder="1" applyAlignment="1">
      <alignment horizontal="center"/>
    </xf>
    <xf numFmtId="0" fontId="2" fillId="2" borderId="15" xfId="8" applyFont="1" applyFill="1" applyBorder="1" applyAlignment="1">
      <alignment horizontal="center"/>
    </xf>
    <xf numFmtId="44" fontId="5" fillId="2" borderId="20" xfId="8" applyNumberFormat="1" applyFont="1" applyFill="1" applyBorder="1"/>
    <xf numFmtId="44" fontId="5" fillId="2" borderId="21" xfId="8" applyNumberFormat="1" applyFont="1" applyFill="1" applyBorder="1"/>
    <xf numFmtId="0" fontId="2" fillId="2" borderId="20" xfId="8" applyFont="1" applyFill="1" applyBorder="1" applyAlignment="1">
      <alignment horizontal="center"/>
    </xf>
    <xf numFmtId="0" fontId="2" fillId="2" borderId="6" xfId="8" applyFont="1" applyFill="1" applyBorder="1" applyAlignment="1">
      <alignment horizontal="center"/>
    </xf>
    <xf numFmtId="0" fontId="5" fillId="2" borderId="22" xfId="8" applyFont="1" applyFill="1" applyBorder="1"/>
    <xf numFmtId="44" fontId="2" fillId="2" borderId="23" xfId="8" applyNumberFormat="1" applyFont="1" applyFill="1" applyBorder="1" applyAlignment="1">
      <alignment horizontal="center"/>
    </xf>
    <xf numFmtId="44" fontId="2" fillId="2" borderId="24" xfId="8" applyNumberFormat="1" applyFont="1" applyFill="1" applyBorder="1" applyAlignment="1">
      <alignment horizontal="center"/>
    </xf>
    <xf numFmtId="0" fontId="2" fillId="2" borderId="23" xfId="8" applyFont="1" applyFill="1" applyBorder="1" applyAlignment="1">
      <alignment horizontal="center"/>
    </xf>
    <xf numFmtId="0" fontId="2" fillId="2" borderId="24" xfId="8" applyFont="1" applyFill="1" applyBorder="1" applyAlignment="1">
      <alignment horizontal="center"/>
    </xf>
    <xf numFmtId="44" fontId="5" fillId="2" borderId="23" xfId="8" applyNumberFormat="1" applyFont="1" applyFill="1" applyBorder="1"/>
    <xf numFmtId="44" fontId="5" fillId="2" borderId="25" xfId="8" applyNumberFormat="1" applyFont="1" applyFill="1" applyBorder="1"/>
    <xf numFmtId="0" fontId="5" fillId="0" borderId="26" xfId="8" applyFont="1" applyBorder="1" applyAlignment="1">
      <alignment horizontal="center"/>
    </xf>
    <xf numFmtId="0" fontId="5" fillId="0" borderId="27" xfId="8" applyFont="1" applyBorder="1" applyAlignment="1">
      <alignment horizontal="center"/>
    </xf>
    <xf numFmtId="0" fontId="5" fillId="3" borderId="28" xfId="8" applyFont="1" applyFill="1" applyBorder="1"/>
    <xf numFmtId="44" fontId="2" fillId="3" borderId="14" xfId="8" applyNumberFormat="1" applyFont="1" applyFill="1" applyBorder="1" applyAlignment="1">
      <alignment horizontal="center"/>
    </xf>
    <xf numFmtId="44" fontId="2" fillId="3" borderId="15" xfId="8" applyNumberFormat="1" applyFont="1" applyFill="1" applyBorder="1" applyAlignment="1">
      <alignment horizontal="center"/>
    </xf>
    <xf numFmtId="0" fontId="2" fillId="3" borderId="14" xfId="8" applyFont="1" applyFill="1" applyBorder="1" applyAlignment="1">
      <alignment horizontal="center"/>
    </xf>
    <xf numFmtId="0" fontId="2" fillId="3" borderId="15" xfId="8" applyFont="1" applyFill="1" applyBorder="1" applyAlignment="1">
      <alignment horizontal="center"/>
    </xf>
    <xf numFmtId="44" fontId="5" fillId="3" borderId="14" xfId="8" applyNumberFormat="1" applyFont="1" applyFill="1" applyBorder="1" applyAlignment="1">
      <alignment horizontal="center"/>
    </xf>
    <xf numFmtId="44" fontId="5" fillId="3" borderId="18" xfId="8" applyNumberFormat="1" applyFont="1" applyFill="1" applyBorder="1" applyAlignment="1">
      <alignment horizontal="center"/>
    </xf>
    <xf numFmtId="0" fontId="5" fillId="3" borderId="19" xfId="8" applyFont="1" applyFill="1" applyBorder="1"/>
    <xf numFmtId="44" fontId="2" fillId="3" borderId="20" xfId="8" applyNumberFormat="1" applyFont="1" applyFill="1" applyBorder="1" applyAlignment="1">
      <alignment horizontal="center"/>
    </xf>
    <xf numFmtId="44" fontId="2" fillId="3" borderId="6" xfId="8" applyNumberFormat="1" applyFont="1" applyFill="1" applyBorder="1" applyAlignment="1">
      <alignment horizontal="center"/>
    </xf>
    <xf numFmtId="0" fontId="2" fillId="3" borderId="20" xfId="8" applyFont="1" applyFill="1" applyBorder="1" applyAlignment="1">
      <alignment horizontal="center"/>
    </xf>
    <xf numFmtId="0" fontId="2" fillId="3" borderId="6" xfId="8" applyFont="1" applyFill="1" applyBorder="1" applyAlignment="1">
      <alignment horizontal="center"/>
    </xf>
    <xf numFmtId="44" fontId="5" fillId="3" borderId="20" xfId="8" applyNumberFormat="1" applyFont="1" applyFill="1" applyBorder="1" applyAlignment="1">
      <alignment horizontal="center"/>
    </xf>
    <xf numFmtId="44" fontId="5" fillId="3" borderId="21" xfId="8" applyNumberFormat="1" applyFont="1" applyFill="1" applyBorder="1" applyAlignment="1">
      <alignment horizontal="center"/>
    </xf>
    <xf numFmtId="0" fontId="5" fillId="3" borderId="29" xfId="8" applyFont="1" applyFill="1" applyBorder="1"/>
    <xf numFmtId="44" fontId="2" fillId="3" borderId="30" xfId="8" applyNumberFormat="1" applyFont="1" applyFill="1" applyBorder="1" applyAlignment="1">
      <alignment horizontal="center"/>
    </xf>
    <xf numFmtId="44" fontId="2" fillId="3" borderId="31" xfId="8" applyNumberFormat="1" applyFont="1" applyFill="1" applyBorder="1" applyAlignment="1">
      <alignment horizontal="center"/>
    </xf>
    <xf numFmtId="0" fontId="2" fillId="3" borderId="30" xfId="8" applyFont="1" applyFill="1" applyBorder="1" applyAlignment="1">
      <alignment horizontal="center"/>
    </xf>
    <xf numFmtId="0" fontId="2" fillId="3" borderId="31" xfId="8" applyFont="1" applyFill="1" applyBorder="1" applyAlignment="1">
      <alignment horizontal="center"/>
    </xf>
    <xf numFmtId="44" fontId="5" fillId="3" borderId="30" xfId="8" applyNumberFormat="1" applyFont="1" applyFill="1" applyBorder="1" applyAlignment="1">
      <alignment horizontal="center"/>
    </xf>
    <xf numFmtId="44" fontId="5" fillId="3" borderId="32" xfId="8" applyNumberFormat="1" applyFont="1" applyFill="1" applyBorder="1" applyAlignment="1">
      <alignment horizontal="center"/>
    </xf>
    <xf numFmtId="0" fontId="5" fillId="4" borderId="11" xfId="8" applyFont="1" applyFill="1" applyBorder="1"/>
    <xf numFmtId="44" fontId="2" fillId="4" borderId="33" xfId="8" applyNumberFormat="1" applyFill="1" applyBorder="1" applyAlignment="1">
      <alignment horizontal="center"/>
    </xf>
    <xf numFmtId="44" fontId="2" fillId="4" borderId="34" xfId="8" applyNumberFormat="1" applyFill="1" applyBorder="1" applyAlignment="1">
      <alignment horizontal="center"/>
    </xf>
    <xf numFmtId="0" fontId="2" fillId="4" borderId="33" xfId="8" applyFill="1" applyBorder="1" applyAlignment="1">
      <alignment horizontal="center"/>
    </xf>
    <xf numFmtId="0" fontId="2" fillId="4" borderId="34" xfId="8" applyFill="1" applyBorder="1" applyAlignment="1">
      <alignment horizontal="center"/>
    </xf>
    <xf numFmtId="44" fontId="5" fillId="4" borderId="33" xfId="8" applyNumberFormat="1" applyFont="1" applyFill="1" applyBorder="1" applyAlignment="1">
      <alignment horizontal="center"/>
    </xf>
    <xf numFmtId="44" fontId="5" fillId="4" borderId="35" xfId="8" applyNumberFormat="1" applyFont="1" applyFill="1" applyBorder="1" applyAlignment="1">
      <alignment horizontal="center"/>
    </xf>
    <xf numFmtId="43" fontId="2" fillId="0" borderId="0" xfId="1" applyFill="1"/>
    <xf numFmtId="0" fontId="2" fillId="0" borderId="0" xfId="5" quotePrefix="1" applyFont="1" applyAlignment="1">
      <alignment horizontal="left"/>
    </xf>
    <xf numFmtId="166" fontId="2" fillId="0" borderId="0" xfId="1" applyNumberFormat="1"/>
    <xf numFmtId="0" fontId="0" fillId="0" borderId="36" xfId="0" applyBorder="1"/>
    <xf numFmtId="0" fontId="0" fillId="0" borderId="7" xfId="0" applyBorder="1"/>
    <xf numFmtId="43" fontId="0" fillId="0" borderId="0" xfId="1" applyFont="1" applyBorder="1"/>
    <xf numFmtId="0" fontId="2" fillId="0" borderId="0" xfId="5" applyFont="1"/>
    <xf numFmtId="0" fontId="2" fillId="0" borderId="4" xfId="0" applyFont="1" applyBorder="1"/>
    <xf numFmtId="0" fontId="9" fillId="0" borderId="0" xfId="0" applyFont="1"/>
    <xf numFmtId="0" fontId="9" fillId="0" borderId="0" xfId="0" quotePrefix="1" applyFont="1" applyAlignment="1">
      <alignment horizontal="left"/>
    </xf>
    <xf numFmtId="44" fontId="9" fillId="0" borderId="0" xfId="3" applyFont="1"/>
    <xf numFmtId="0" fontId="10" fillId="0" borderId="0" xfId="0" quotePrefix="1" applyFont="1" applyAlignment="1">
      <alignment horizontal="left"/>
    </xf>
    <xf numFmtId="0" fontId="9" fillId="0" borderId="0" xfId="0" applyFont="1" applyBorder="1"/>
    <xf numFmtId="0" fontId="9" fillId="0" borderId="0" xfId="0" applyFont="1" applyAlignment="1">
      <alignment horizontal="left"/>
    </xf>
    <xf numFmtId="43" fontId="9" fillId="0" borderId="0" xfId="1" applyFont="1"/>
    <xf numFmtId="44" fontId="9" fillId="0" borderId="2" xfId="3" applyFont="1" applyBorder="1"/>
    <xf numFmtId="43" fontId="9" fillId="0" borderId="2" xfId="0" applyNumberFormat="1" applyFont="1" applyBorder="1"/>
    <xf numFmtId="0" fontId="10" fillId="0" borderId="0" xfId="0" applyFont="1" applyAlignment="1">
      <alignment horizontal="left" indent="1"/>
    </xf>
    <xf numFmtId="0" fontId="10" fillId="0" borderId="0" xfId="0" applyFont="1"/>
    <xf numFmtId="0" fontId="10" fillId="0" borderId="0" xfId="0" applyFont="1" applyAlignment="1">
      <alignment horizontal="left"/>
    </xf>
    <xf numFmtId="43" fontId="9" fillId="0" borderId="0" xfId="0" applyNumberFormat="1" applyFont="1"/>
    <xf numFmtId="164" fontId="9" fillId="0" borderId="0" xfId="6" applyNumberFormat="1" applyFont="1" applyBorder="1"/>
    <xf numFmtId="0" fontId="9" fillId="0" borderId="0" xfId="0" applyFont="1" applyAlignment="1"/>
    <xf numFmtId="16" fontId="9" fillId="0" borderId="0" xfId="0" applyNumberFormat="1" applyFont="1"/>
    <xf numFmtId="0" fontId="5" fillId="0" borderId="3" xfId="5" applyFont="1" applyBorder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justify" wrapText="1"/>
    </xf>
    <xf numFmtId="0" fontId="9" fillId="0" borderId="0" xfId="0" quotePrefix="1" applyFont="1" applyAlignment="1">
      <alignment horizontal="justify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justify" vertical="top" wrapText="1"/>
    </xf>
    <xf numFmtId="43" fontId="4" fillId="0" borderId="0" xfId="1" applyFont="1" applyAlignment="1">
      <alignment horizontal="center"/>
    </xf>
    <xf numFmtId="0" fontId="2" fillId="0" borderId="1" xfId="8" applyFont="1" applyBorder="1" applyAlignment="1"/>
    <xf numFmtId="0" fontId="5" fillId="0" borderId="11" xfId="8" applyFont="1" applyBorder="1" applyAlignment="1">
      <alignment horizontal="center"/>
    </xf>
    <xf numFmtId="0" fontId="8" fillId="0" borderId="12" xfId="11" applyBorder="1" applyAlignment="1">
      <alignment horizontal="center"/>
    </xf>
    <xf numFmtId="0" fontId="5" fillId="0" borderId="13" xfId="8" applyFont="1" applyBorder="1" applyAlignment="1">
      <alignment horizontal="center"/>
    </xf>
  </cellXfs>
  <cellStyles count="23">
    <cellStyle name="Comma" xfId="1" builtinId="3"/>
    <cellStyle name="Comma 2" xfId="2"/>
    <cellStyle name="Currency" xfId="3" builtinId="4"/>
    <cellStyle name="Currency 2" xfId="4"/>
    <cellStyle name="Currency 2 2" xfId="12"/>
    <cellStyle name="Currency 2 2 2" xfId="9"/>
    <cellStyle name="Normal" xfId="0" builtinId="0"/>
    <cellStyle name="Normal 2" xfId="5"/>
    <cellStyle name="Normal 2 2" xfId="13"/>
    <cellStyle name="Normal 2 2 2" xfId="8"/>
    <cellStyle name="Normal 2 2 3" xfId="14"/>
    <cellStyle name="Normal 3" xfId="11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Percent" xfId="6" builtinId="5"/>
    <cellStyle name="Percent 2" xfId="7"/>
    <cellStyle name="Percent 2 2" xfId="21"/>
    <cellStyle name="Percent 2 2 2" xfId="10"/>
    <cellStyle name="Percent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ummings\Initiatives\Transportation%20-%20Buy%20or%20lease\CEM%2020080121%20with%20UMS%20tab%20-%20H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Help"/>
      <sheetName val="LookUp Ranges"/>
      <sheetName val="Depreciation"/>
      <sheetName val="Inputs"/>
      <sheetName val="PL and CF"/>
      <sheetName val="Summary"/>
      <sheetName val="UMS Worksheet"/>
    </sheetNames>
    <sheetDataSet>
      <sheetData sheetId="0"/>
      <sheetData sheetId="1"/>
      <sheetData sheetId="2">
        <row r="12">
          <cell r="L12">
            <v>5.6000000000000001E-2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K35" sqref="K35"/>
    </sheetView>
  </sheetViews>
  <sheetFormatPr defaultRowHeight="12.75" x14ac:dyDescent="0.2"/>
  <cols>
    <col min="1" max="4" width="9.140625" style="11"/>
    <col min="5" max="5" width="16.28515625" style="11" customWidth="1"/>
    <col min="6" max="7" width="16.5703125" style="11" customWidth="1"/>
    <col min="8" max="8" width="24.7109375" style="11" bestFit="1" customWidth="1"/>
    <col min="9" max="16384" width="9.140625" style="11"/>
  </cols>
  <sheetData>
    <row r="1" spans="1:8" x14ac:dyDescent="0.2">
      <c r="A1" s="10" t="s">
        <v>62</v>
      </c>
      <c r="H1" s="102" t="s">
        <v>75</v>
      </c>
    </row>
    <row r="2" spans="1:8" x14ac:dyDescent="0.2">
      <c r="A2" s="97" t="s">
        <v>61</v>
      </c>
    </row>
    <row r="3" spans="1:8" x14ac:dyDescent="0.2">
      <c r="D3" s="18"/>
    </row>
    <row r="7" spans="1:8" ht="13.5" thickBot="1" x14ac:dyDescent="0.25">
      <c r="A7" s="12" t="s">
        <v>26</v>
      </c>
      <c r="B7" s="13"/>
      <c r="C7" s="13"/>
      <c r="D7" s="13"/>
      <c r="E7" s="120" t="s">
        <v>27</v>
      </c>
      <c r="F7" s="120"/>
      <c r="G7" s="120"/>
      <c r="H7" s="120"/>
    </row>
    <row r="8" spans="1:8" x14ac:dyDescent="0.2">
      <c r="E8" s="17" t="s">
        <v>33</v>
      </c>
      <c r="F8" s="17" t="s">
        <v>73</v>
      </c>
      <c r="G8" s="17" t="s">
        <v>34</v>
      </c>
      <c r="H8" s="18" t="s">
        <v>74</v>
      </c>
    </row>
    <row r="9" spans="1:8" ht="13.5" customHeight="1" x14ac:dyDescent="0.2">
      <c r="A9" s="11" t="s">
        <v>29</v>
      </c>
      <c r="E9" s="14">
        <v>29</v>
      </c>
      <c r="F9" s="16">
        <f>+'LG&amp;E Disconnect Reconnect ExhM8'!B17</f>
        <v>27.619480358034053</v>
      </c>
      <c r="G9" s="16">
        <v>28</v>
      </c>
      <c r="H9" s="16">
        <f t="shared" ref="H9:H11" si="0">+G9-E9</f>
        <v>-1</v>
      </c>
    </row>
    <row r="10" spans="1:8" x14ac:dyDescent="0.2">
      <c r="A10" s="11" t="s">
        <v>30</v>
      </c>
      <c r="E10" s="14">
        <v>60</v>
      </c>
      <c r="F10" s="16">
        <f>+'LG&amp;E-E Meter Test M6'!B17</f>
        <v>74.320572300000009</v>
      </c>
      <c r="G10" s="16">
        <v>75</v>
      </c>
      <c r="H10" s="16">
        <f t="shared" si="0"/>
        <v>15</v>
      </c>
    </row>
    <row r="11" spans="1:8" x14ac:dyDescent="0.2">
      <c r="A11" s="11" t="s">
        <v>32</v>
      </c>
      <c r="E11" s="14">
        <v>9</v>
      </c>
      <c r="F11" s="16" t="e">
        <f>+#REF!</f>
        <v>#REF!</v>
      </c>
      <c r="G11" s="16">
        <v>15</v>
      </c>
      <c r="H11" s="16">
        <f t="shared" si="0"/>
        <v>6</v>
      </c>
    </row>
    <row r="12" spans="1:8" x14ac:dyDescent="0.2">
      <c r="E12" s="14"/>
    </row>
    <row r="13" spans="1:8" x14ac:dyDescent="0.2">
      <c r="E13" s="15"/>
    </row>
    <row r="16" spans="1:8" ht="13.5" thickBot="1" x14ac:dyDescent="0.25">
      <c r="A16" s="12" t="s">
        <v>26</v>
      </c>
      <c r="B16" s="13"/>
      <c r="C16" s="13"/>
      <c r="D16" s="13"/>
      <c r="E16" s="120" t="s">
        <v>28</v>
      </c>
      <c r="F16" s="120"/>
      <c r="G16" s="120"/>
      <c r="H16" s="120"/>
    </row>
    <row r="17" spans="1:8" x14ac:dyDescent="0.2">
      <c r="E17" s="17" t="s">
        <v>33</v>
      </c>
      <c r="F17" s="17" t="s">
        <v>73</v>
      </c>
      <c r="G17" s="17" t="s">
        <v>34</v>
      </c>
      <c r="H17" s="18" t="s">
        <v>74</v>
      </c>
    </row>
    <row r="18" spans="1:8" x14ac:dyDescent="0.2">
      <c r="A18" s="11" t="s">
        <v>29</v>
      </c>
      <c r="E18" s="14">
        <v>29</v>
      </c>
      <c r="F18" s="16">
        <f>+'LG&amp;E Disconnect Reconnect ExhM8'!B17</f>
        <v>27.619480358034053</v>
      </c>
      <c r="G18" s="16">
        <v>28</v>
      </c>
      <c r="H18" s="16">
        <f>+G18-E18</f>
        <v>-1</v>
      </c>
    </row>
    <row r="19" spans="1:8" x14ac:dyDescent="0.2">
      <c r="A19" s="11" t="s">
        <v>30</v>
      </c>
      <c r="E19" s="14">
        <v>80</v>
      </c>
      <c r="F19" s="16">
        <f>+'LG&amp;E-G Meter Test M7'!B17</f>
        <v>90.267579999999995</v>
      </c>
      <c r="G19" s="16">
        <v>90</v>
      </c>
      <c r="H19" s="16">
        <f t="shared" ref="H19:H20" si="1">+G19-E19</f>
        <v>10</v>
      </c>
    </row>
    <row r="20" spans="1:8" x14ac:dyDescent="0.2">
      <c r="A20" s="11" t="s">
        <v>31</v>
      </c>
      <c r="E20" s="14">
        <v>135</v>
      </c>
      <c r="F20" s="16">
        <f>+'LG&amp;E-G Inspection Charge M12'!B17</f>
        <v>150.07597630000001</v>
      </c>
      <c r="G20" s="16">
        <v>150</v>
      </c>
      <c r="H20" s="16">
        <f t="shared" si="1"/>
        <v>15</v>
      </c>
    </row>
    <row r="21" spans="1:8" x14ac:dyDescent="0.2">
      <c r="E21" s="14"/>
      <c r="F21" s="16"/>
      <c r="G21" s="16"/>
      <c r="H21" s="16"/>
    </row>
    <row r="24" spans="1:8" ht="13.5" thickBot="1" x14ac:dyDescent="0.25">
      <c r="A24" s="12" t="s">
        <v>26</v>
      </c>
      <c r="B24" s="13"/>
      <c r="C24" s="13"/>
      <c r="D24" s="13"/>
      <c r="E24" s="120" t="s">
        <v>1</v>
      </c>
      <c r="F24" s="120"/>
      <c r="G24" s="120"/>
      <c r="H24" s="120"/>
    </row>
    <row r="25" spans="1:8" x14ac:dyDescent="0.2">
      <c r="E25" s="17" t="s">
        <v>33</v>
      </c>
      <c r="F25" s="17" t="s">
        <v>73</v>
      </c>
      <c r="G25" s="17" t="s">
        <v>34</v>
      </c>
      <c r="H25" s="18" t="s">
        <v>74</v>
      </c>
    </row>
    <row r="26" spans="1:8" x14ac:dyDescent="0.2">
      <c r="A26" s="11" t="s">
        <v>29</v>
      </c>
      <c r="E26" s="14">
        <v>25</v>
      </c>
      <c r="F26" s="16">
        <f>+'KU Conroy Exhibit M6'!B17</f>
        <v>29.370237440377057</v>
      </c>
      <c r="G26" s="16">
        <v>28</v>
      </c>
      <c r="H26" s="16">
        <f t="shared" ref="H26:H28" si="2">+G26-E26</f>
        <v>3</v>
      </c>
    </row>
    <row r="27" spans="1:8" x14ac:dyDescent="0.2">
      <c r="A27" s="11" t="s">
        <v>30</v>
      </c>
      <c r="E27" s="14">
        <v>60</v>
      </c>
      <c r="F27" s="16">
        <f>+'KU Conroy Exhibit M5'!B17</f>
        <v>76.132497999999998</v>
      </c>
      <c r="G27" s="16">
        <v>75</v>
      </c>
      <c r="H27" s="16">
        <f t="shared" si="2"/>
        <v>15</v>
      </c>
    </row>
    <row r="28" spans="1:8" x14ac:dyDescent="0.2">
      <c r="A28" s="11" t="s">
        <v>32</v>
      </c>
      <c r="E28" s="14">
        <v>9</v>
      </c>
      <c r="F28" s="16" t="e">
        <f>+#REF!</f>
        <v>#REF!</v>
      </c>
      <c r="G28" s="16">
        <v>15</v>
      </c>
      <c r="H28" s="16">
        <f t="shared" si="2"/>
        <v>6</v>
      </c>
    </row>
    <row r="29" spans="1:8" x14ac:dyDescent="0.2">
      <c r="E29" s="14"/>
    </row>
    <row r="30" spans="1:8" x14ac:dyDescent="0.2">
      <c r="E30" s="15"/>
    </row>
  </sheetData>
  <mergeCells count="3">
    <mergeCell ref="E7:H7"/>
    <mergeCell ref="E16:H16"/>
    <mergeCell ref="E24:H24"/>
  </mergeCells>
  <pageMargins left="0.75" right="0.75" top="1" bottom="1" header="0.5" footer="0.5"/>
  <pageSetup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33"/>
  <sheetViews>
    <sheetView workbookViewId="0">
      <selection activeCell="H30" sqref="H30"/>
    </sheetView>
  </sheetViews>
  <sheetFormatPr defaultRowHeight="12.75" x14ac:dyDescent="0.2"/>
  <cols>
    <col min="1" max="1" width="38.5703125" bestFit="1" customWidth="1"/>
    <col min="2" max="2" width="12" bestFit="1" customWidth="1"/>
    <col min="3" max="3" width="10.7109375" bestFit="1" customWidth="1"/>
    <col min="4" max="5" width="11" customWidth="1"/>
  </cols>
  <sheetData>
    <row r="2" spans="1:6" x14ac:dyDescent="0.2">
      <c r="A2" t="s">
        <v>54</v>
      </c>
    </row>
    <row r="6" spans="1:6" ht="15" x14ac:dyDescent="0.35">
      <c r="B6" s="127" t="s">
        <v>23</v>
      </c>
      <c r="C6" s="127"/>
      <c r="D6" s="127" t="s">
        <v>24</v>
      </c>
      <c r="E6" s="127"/>
    </row>
    <row r="7" spans="1:6" x14ac:dyDescent="0.2">
      <c r="B7" s="5" t="s">
        <v>0</v>
      </c>
      <c r="C7" s="5" t="s">
        <v>1</v>
      </c>
      <c r="D7" s="5" t="s">
        <v>0</v>
      </c>
      <c r="E7" s="5" t="s">
        <v>1</v>
      </c>
    </row>
    <row r="8" spans="1:6" x14ac:dyDescent="0.2">
      <c r="A8" s="2" t="s">
        <v>55</v>
      </c>
      <c r="B8" s="4">
        <v>33.590000000000003</v>
      </c>
      <c r="C8" s="3">
        <v>34.06</v>
      </c>
      <c r="D8" s="9">
        <f>+B8+(B8*B22)</f>
        <v>69.731832300000008</v>
      </c>
      <c r="E8" s="1">
        <f>+C8+(C8*C22)</f>
        <v>71.539624000000003</v>
      </c>
    </row>
    <row r="9" spans="1:6" x14ac:dyDescent="0.2">
      <c r="A9" s="2" t="s">
        <v>56</v>
      </c>
      <c r="B9" s="4"/>
      <c r="C9" s="3">
        <f>+C8</f>
        <v>34.06</v>
      </c>
      <c r="E9" s="1">
        <f>+E8</f>
        <v>71.539624000000003</v>
      </c>
      <c r="F9" s="6"/>
    </row>
    <row r="10" spans="1:6" x14ac:dyDescent="0.2">
      <c r="A10" s="2" t="s">
        <v>57</v>
      </c>
      <c r="B10" s="4"/>
      <c r="C10" s="3">
        <f>+C9</f>
        <v>34.06</v>
      </c>
      <c r="E10" s="1">
        <f>+E9</f>
        <v>71.539624000000003</v>
      </c>
    </row>
    <row r="11" spans="1:6" x14ac:dyDescent="0.2">
      <c r="A11" s="2" t="s">
        <v>58</v>
      </c>
      <c r="B11" s="3">
        <v>6.65</v>
      </c>
      <c r="C11" s="3">
        <v>6.65</v>
      </c>
    </row>
    <row r="12" spans="1:6" x14ac:dyDescent="0.2">
      <c r="A12" s="2" t="s">
        <v>59</v>
      </c>
      <c r="B12" s="3">
        <v>7.12</v>
      </c>
      <c r="C12" s="3">
        <v>7.12</v>
      </c>
    </row>
    <row r="13" spans="1:6" x14ac:dyDescent="0.2">
      <c r="A13" s="2" t="s">
        <v>60</v>
      </c>
      <c r="B13" s="3">
        <v>6.89</v>
      </c>
      <c r="C13" s="3">
        <v>6.89</v>
      </c>
    </row>
    <row r="14" spans="1:6" x14ac:dyDescent="0.2">
      <c r="B14" s="3"/>
      <c r="C14" s="3"/>
    </row>
    <row r="15" spans="1:6" x14ac:dyDescent="0.2">
      <c r="B15" s="3"/>
      <c r="C15" s="3"/>
    </row>
    <row r="16" spans="1:6" x14ac:dyDescent="0.2">
      <c r="B16" s="3"/>
      <c r="C16" s="3"/>
    </row>
    <row r="17" spans="1:3" x14ac:dyDescent="0.2">
      <c r="A17" s="2" t="s">
        <v>20</v>
      </c>
      <c r="B17" s="96">
        <f>37.26*1.333</f>
        <v>49.667579999999994</v>
      </c>
      <c r="C17" s="3"/>
    </row>
    <row r="18" spans="1:3" x14ac:dyDescent="0.2">
      <c r="A18" s="8" t="s">
        <v>21</v>
      </c>
      <c r="B18" s="96">
        <v>40.6</v>
      </c>
      <c r="C18" s="3"/>
    </row>
    <row r="19" spans="1:3" x14ac:dyDescent="0.2">
      <c r="B19" s="3"/>
      <c r="C19" s="3"/>
    </row>
    <row r="20" spans="1:3" x14ac:dyDescent="0.2">
      <c r="B20" s="3"/>
      <c r="C20" s="3"/>
    </row>
    <row r="21" spans="1:3" x14ac:dyDescent="0.2">
      <c r="B21" s="3"/>
      <c r="C21" s="3"/>
    </row>
    <row r="22" spans="1:3" x14ac:dyDescent="0.2">
      <c r="A22" t="s">
        <v>25</v>
      </c>
      <c r="B22" s="98">
        <v>1.0759700000000001</v>
      </c>
      <c r="C22" s="98">
        <v>1.1004</v>
      </c>
    </row>
    <row r="25" spans="1:3" ht="13.5" thickBot="1" x14ac:dyDescent="0.25"/>
    <row r="26" spans="1:3" x14ac:dyDescent="0.2">
      <c r="A26" s="103" t="s">
        <v>63</v>
      </c>
      <c r="B26" s="99" t="s">
        <v>64</v>
      </c>
      <c r="C26" s="99" t="s">
        <v>65</v>
      </c>
    </row>
    <row r="27" spans="1:3" x14ac:dyDescent="0.2">
      <c r="A27" s="100"/>
      <c r="B27" s="7"/>
      <c r="C27" s="7"/>
    </row>
    <row r="28" spans="1:3" x14ac:dyDescent="0.2">
      <c r="A28" s="100" t="s">
        <v>66</v>
      </c>
      <c r="B28" s="7">
        <v>35.17</v>
      </c>
      <c r="C28" s="9">
        <f>+B28+(B28*B22)</f>
        <v>73.011864900000006</v>
      </c>
    </row>
    <row r="29" spans="1:3" x14ac:dyDescent="0.2">
      <c r="A29" s="100" t="s">
        <v>67</v>
      </c>
      <c r="B29" s="7">
        <v>33.619999999999997</v>
      </c>
      <c r="C29" s="9">
        <f>+B29+(B29*B22)</f>
        <v>69.794111399999991</v>
      </c>
    </row>
    <row r="30" spans="1:3" x14ac:dyDescent="0.2">
      <c r="A30" s="100" t="s">
        <v>68</v>
      </c>
      <c r="B30" s="7"/>
      <c r="C30" s="7">
        <v>7.27</v>
      </c>
    </row>
    <row r="31" spans="1:3" x14ac:dyDescent="0.2">
      <c r="A31" s="100"/>
      <c r="B31" s="7"/>
      <c r="C31" s="7"/>
    </row>
    <row r="32" spans="1:3" x14ac:dyDescent="0.2">
      <c r="A32" s="100" t="s">
        <v>69</v>
      </c>
      <c r="B32" s="7"/>
      <c r="C32" s="101">
        <f>SUM(C28:C31)</f>
        <v>150.07597630000001</v>
      </c>
    </row>
    <row r="33" spans="1:3" x14ac:dyDescent="0.2">
      <c r="A33" s="100" t="s">
        <v>70</v>
      </c>
      <c r="B33" s="7"/>
      <c r="C33" s="7"/>
    </row>
  </sheetData>
  <mergeCells count="2">
    <mergeCell ref="B6:C6"/>
    <mergeCell ref="D6:E6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1"/>
  <sheetViews>
    <sheetView zoomScaleNormal="100" workbookViewId="0">
      <selection activeCell="H34" sqref="H34"/>
    </sheetView>
  </sheetViews>
  <sheetFormatPr defaultRowHeight="12.75" x14ac:dyDescent="0.2"/>
  <cols>
    <col min="1" max="7" width="20.7109375" style="23" customWidth="1"/>
    <col min="8" max="8" width="15.85546875" style="23" customWidth="1"/>
    <col min="9" max="9" width="14.28515625" style="23" customWidth="1"/>
    <col min="10" max="10" width="12.5703125" style="23" bestFit="1" customWidth="1"/>
    <col min="11" max="16384" width="9.140625" style="23"/>
  </cols>
  <sheetData>
    <row r="1" spans="1:10" x14ac:dyDescent="0.2">
      <c r="A1" s="128" t="s">
        <v>35</v>
      </c>
      <c r="B1" s="128"/>
      <c r="C1" s="19" t="s">
        <v>36</v>
      </c>
      <c r="D1" s="19" t="s">
        <v>37</v>
      </c>
      <c r="E1" s="20" t="s">
        <v>38</v>
      </c>
      <c r="F1" s="21" t="s">
        <v>39</v>
      </c>
      <c r="G1" s="22"/>
      <c r="H1" s="22"/>
    </row>
    <row r="2" spans="1:10" x14ac:dyDescent="0.2">
      <c r="A2" s="24" t="s">
        <v>40</v>
      </c>
      <c r="B2" s="25">
        <v>3634588</v>
      </c>
      <c r="C2" s="26">
        <v>0.73352295190402428</v>
      </c>
      <c r="D2" s="26">
        <v>0.26647704809597567</v>
      </c>
      <c r="E2" s="27">
        <f>B2*C2</f>
        <v>2666053.7187149436</v>
      </c>
      <c r="F2" s="28">
        <f>B2*D2</f>
        <v>968534.28128505603</v>
      </c>
      <c r="G2" s="22"/>
      <c r="H2" s="22"/>
    </row>
    <row r="3" spans="1:10" ht="13.5" thickBot="1" x14ac:dyDescent="0.25">
      <c r="A3" s="24" t="s">
        <v>41</v>
      </c>
      <c r="B3" s="25">
        <v>1775787.2700000005</v>
      </c>
      <c r="C3" s="26">
        <v>0.56105383552244925</v>
      </c>
      <c r="D3" s="26">
        <v>0.4389461644775508</v>
      </c>
      <c r="E3" s="29">
        <f>B3*C3</f>
        <v>996312.2589054394</v>
      </c>
      <c r="F3" s="30">
        <f>B3*D3</f>
        <v>779475.01109456108</v>
      </c>
      <c r="G3" s="22"/>
      <c r="H3" s="22"/>
    </row>
    <row r="4" spans="1:10" x14ac:dyDescent="0.2">
      <c r="A4" s="24" t="s">
        <v>42</v>
      </c>
      <c r="B4" s="31">
        <f>SUM(B2:B3)</f>
        <v>5410375.2700000005</v>
      </c>
      <c r="C4" s="19"/>
      <c r="D4" s="19"/>
      <c r="E4" s="32">
        <f>E2+E3</f>
        <v>3662365.9776203828</v>
      </c>
      <c r="F4" s="33">
        <f>F2+F3</f>
        <v>1748009.2923796172</v>
      </c>
      <c r="G4" s="34"/>
      <c r="H4" s="22"/>
    </row>
    <row r="5" spans="1:10" x14ac:dyDescent="0.2">
      <c r="A5" s="35"/>
      <c r="B5" s="22"/>
      <c r="C5" s="22"/>
      <c r="D5" s="22"/>
      <c r="E5" s="36"/>
      <c r="F5" s="37"/>
      <c r="G5" s="22"/>
      <c r="H5" s="22"/>
    </row>
    <row r="6" spans="1:10" x14ac:dyDescent="0.2">
      <c r="A6" s="24" t="s">
        <v>43</v>
      </c>
      <c r="B6" s="25">
        <v>5129855</v>
      </c>
      <c r="C6" s="26">
        <v>0.65901938246113023</v>
      </c>
      <c r="D6" s="26">
        <v>0.34098061753886977</v>
      </c>
      <c r="E6" s="38">
        <f>B6*C6</f>
        <v>3380673.8742151414</v>
      </c>
      <c r="F6" s="39">
        <f>B6*D6</f>
        <v>1749181.1257848588</v>
      </c>
      <c r="G6" s="22"/>
      <c r="H6" s="22"/>
    </row>
    <row r="7" spans="1:10" ht="13.5" thickBot="1" x14ac:dyDescent="0.25">
      <c r="A7" s="24" t="s">
        <v>44</v>
      </c>
      <c r="B7" s="25">
        <v>1675809.87</v>
      </c>
      <c r="C7" s="26">
        <v>0.59060582648154181</v>
      </c>
      <c r="D7" s="26">
        <v>0.40939417351845825</v>
      </c>
      <c r="E7" s="40">
        <f>B7*C7</f>
        <v>989743.07329727523</v>
      </c>
      <c r="F7" s="41">
        <f>B7*D7</f>
        <v>686066.796702725</v>
      </c>
      <c r="G7" s="22"/>
      <c r="H7" s="22"/>
    </row>
    <row r="8" spans="1:10" ht="13.5" thickBot="1" x14ac:dyDescent="0.25">
      <c r="A8" s="24" t="s">
        <v>42</v>
      </c>
      <c r="B8" s="31">
        <f>SUM(B6:B7)</f>
        <v>6805664.8700000001</v>
      </c>
      <c r="C8" s="22"/>
      <c r="D8" s="22"/>
      <c r="E8" s="42">
        <f>E6+E7</f>
        <v>4370416.9475124162</v>
      </c>
      <c r="F8" s="43">
        <f>F6+F7</f>
        <v>2435247.9224875839</v>
      </c>
      <c r="G8" s="34"/>
      <c r="H8" s="22"/>
    </row>
    <row r="9" spans="1:10" x14ac:dyDescent="0.2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x14ac:dyDescent="0.2">
      <c r="A10" s="35" t="s">
        <v>45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3.5" thickBo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3.5" thickBot="1" x14ac:dyDescent="0.25">
      <c r="A12" s="22"/>
      <c r="B12" s="129" t="s">
        <v>46</v>
      </c>
      <c r="C12" s="130"/>
      <c r="D12" s="129" t="s">
        <v>47</v>
      </c>
      <c r="E12" s="130"/>
      <c r="F12" s="129" t="s">
        <v>48</v>
      </c>
      <c r="G12" s="131"/>
    </row>
    <row r="13" spans="1:10" ht="13.5" thickBot="1" x14ac:dyDescent="0.25">
      <c r="A13" s="44"/>
      <c r="B13" s="45" t="s">
        <v>38</v>
      </c>
      <c r="C13" s="46" t="s">
        <v>39</v>
      </c>
      <c r="D13" s="47" t="s">
        <v>49</v>
      </c>
      <c r="E13" s="48" t="s">
        <v>50</v>
      </c>
      <c r="F13" s="45" t="s">
        <v>51</v>
      </c>
      <c r="G13" s="49" t="s">
        <v>52</v>
      </c>
    </row>
    <row r="14" spans="1:10" x14ac:dyDescent="0.2">
      <c r="A14" s="50" t="s">
        <v>40</v>
      </c>
      <c r="B14" s="51">
        <f t="shared" ref="B14:C16" si="0">E2</f>
        <v>2666053.7187149436</v>
      </c>
      <c r="C14" s="52">
        <f t="shared" si="0"/>
        <v>968534.28128505603</v>
      </c>
      <c r="D14" s="53">
        <v>81691</v>
      </c>
      <c r="E14" s="54">
        <v>31137</v>
      </c>
      <c r="F14" s="55">
        <f t="shared" ref="F14:G16" si="1">B14/D14</f>
        <v>32.635831593626513</v>
      </c>
      <c r="G14" s="56">
        <f t="shared" si="1"/>
        <v>31.105574759451972</v>
      </c>
    </row>
    <row r="15" spans="1:10" x14ac:dyDescent="0.2">
      <c r="A15" s="50" t="s">
        <v>41</v>
      </c>
      <c r="B15" s="51">
        <f t="shared" si="0"/>
        <v>996312.2589054394</v>
      </c>
      <c r="C15" s="52">
        <f t="shared" si="0"/>
        <v>779475.01109456108</v>
      </c>
      <c r="D15" s="57">
        <v>113271</v>
      </c>
      <c r="E15" s="58">
        <v>95441</v>
      </c>
      <c r="F15" s="55">
        <f t="shared" si="1"/>
        <v>8.7958282252777806</v>
      </c>
      <c r="G15" s="56">
        <f t="shared" si="1"/>
        <v>8.1670876362837888</v>
      </c>
    </row>
    <row r="16" spans="1:10" ht="13.5" thickBot="1" x14ac:dyDescent="0.25">
      <c r="A16" s="59" t="s">
        <v>42</v>
      </c>
      <c r="B16" s="60">
        <f t="shared" si="0"/>
        <v>3662365.9776203828</v>
      </c>
      <c r="C16" s="61">
        <f t="shared" si="0"/>
        <v>1748009.2923796172</v>
      </c>
      <c r="D16" s="62">
        <f>SUM(D14:D15)</f>
        <v>194962</v>
      </c>
      <c r="E16" s="63">
        <f t="shared" ref="E16" si="2">SUM(E14:E15)</f>
        <v>126578</v>
      </c>
      <c r="F16" s="64">
        <f t="shared" si="1"/>
        <v>18.785024659268899</v>
      </c>
      <c r="G16" s="65">
        <f t="shared" si="1"/>
        <v>13.809740179017027</v>
      </c>
    </row>
    <row r="17" spans="1:7" ht="13.5" thickBot="1" x14ac:dyDescent="0.25">
      <c r="A17" s="44"/>
      <c r="B17" s="45" t="s">
        <v>38</v>
      </c>
      <c r="C17" s="46" t="s">
        <v>39</v>
      </c>
      <c r="D17" s="66" t="s">
        <v>49</v>
      </c>
      <c r="E17" s="67" t="s">
        <v>50</v>
      </c>
      <c r="F17" s="45" t="s">
        <v>51</v>
      </c>
      <c r="G17" s="49" t="s">
        <v>52</v>
      </c>
    </row>
    <row r="18" spans="1:7" x14ac:dyDescent="0.2">
      <c r="A18" s="68" t="s">
        <v>43</v>
      </c>
      <c r="B18" s="69">
        <f t="shared" ref="B18:C20" si="3">E6</f>
        <v>3380673.8742151414</v>
      </c>
      <c r="C18" s="70">
        <f t="shared" si="3"/>
        <v>1749181.1257848588</v>
      </c>
      <c r="D18" s="71">
        <v>158684</v>
      </c>
      <c r="E18" s="72">
        <v>92340</v>
      </c>
      <c r="F18" s="73">
        <f t="shared" ref="F18:G21" si="4">B18/D18</f>
        <v>21.304440738922271</v>
      </c>
      <c r="G18" s="74">
        <f t="shared" si="4"/>
        <v>18.94283220473098</v>
      </c>
    </row>
    <row r="19" spans="1:7" x14ac:dyDescent="0.2">
      <c r="A19" s="75" t="s">
        <v>44</v>
      </c>
      <c r="B19" s="76">
        <f t="shared" si="3"/>
        <v>989743.07329727523</v>
      </c>
      <c r="C19" s="77">
        <f t="shared" si="3"/>
        <v>686066.796702725</v>
      </c>
      <c r="D19" s="78">
        <v>91571</v>
      </c>
      <c r="E19" s="79">
        <v>73491</v>
      </c>
      <c r="F19" s="80">
        <f t="shared" si="4"/>
        <v>10.808477283171257</v>
      </c>
      <c r="G19" s="81">
        <f t="shared" si="4"/>
        <v>9.335385240406648</v>
      </c>
    </row>
    <row r="20" spans="1:7" ht="13.5" thickBot="1" x14ac:dyDescent="0.25">
      <c r="A20" s="82" t="s">
        <v>42</v>
      </c>
      <c r="B20" s="83">
        <f t="shared" si="3"/>
        <v>4370416.9475124162</v>
      </c>
      <c r="C20" s="84">
        <f t="shared" si="3"/>
        <v>2435247.9224875839</v>
      </c>
      <c r="D20" s="85">
        <f>SUM(D18:D19)</f>
        <v>250255</v>
      </c>
      <c r="E20" s="86">
        <f t="shared" ref="E20" si="5">SUM(E18:E19)</f>
        <v>165831</v>
      </c>
      <c r="F20" s="87">
        <f t="shared" si="4"/>
        <v>17.463854658298199</v>
      </c>
      <c r="G20" s="88">
        <f t="shared" si="4"/>
        <v>14.685118720188528</v>
      </c>
    </row>
    <row r="21" spans="1:7" ht="13.5" thickBot="1" x14ac:dyDescent="0.25">
      <c r="A21" s="89" t="s">
        <v>53</v>
      </c>
      <c r="B21" s="90">
        <f>B16+B20</f>
        <v>8032782.925132799</v>
      </c>
      <c r="C21" s="91">
        <f>C16+C20</f>
        <v>4183257.2148672012</v>
      </c>
      <c r="D21" s="92">
        <f>D16+D20</f>
        <v>445217</v>
      </c>
      <c r="E21" s="93">
        <f>E16+E20</f>
        <v>292409</v>
      </c>
      <c r="F21" s="94">
        <f t="shared" si="4"/>
        <v>18.042399380825078</v>
      </c>
      <c r="G21" s="95">
        <f t="shared" si="4"/>
        <v>14.306184880996144</v>
      </c>
    </row>
  </sheetData>
  <mergeCells count="4">
    <mergeCell ref="A1:B1"/>
    <mergeCell ref="B12:C12"/>
    <mergeCell ref="D12:E12"/>
    <mergeCell ref="F12:G12"/>
  </mergeCells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F32" sqref="F32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6"/>
  <sheetViews>
    <sheetView tabSelected="1" topLeftCell="A4" zoomScaleNormal="100" workbookViewId="0">
      <selection activeCell="B37" sqref="B37"/>
    </sheetView>
  </sheetViews>
  <sheetFormatPr defaultColWidth="19.42578125" defaultRowHeight="15.75" x14ac:dyDescent="0.25"/>
  <cols>
    <col min="1" max="1" width="26.140625" style="104" customWidth="1"/>
    <col min="2" max="16384" width="19.42578125" style="104"/>
  </cols>
  <sheetData>
    <row r="1" spans="1:5" x14ac:dyDescent="0.25">
      <c r="A1" s="115"/>
    </row>
    <row r="2" spans="1:5" x14ac:dyDescent="0.25">
      <c r="A2" s="107"/>
    </row>
    <row r="3" spans="1:5" x14ac:dyDescent="0.25">
      <c r="A3" s="107"/>
    </row>
    <row r="4" spans="1:5" x14ac:dyDescent="0.25">
      <c r="A4" s="107"/>
    </row>
    <row r="5" spans="1:5" x14ac:dyDescent="0.25">
      <c r="A5" s="107"/>
    </row>
    <row r="6" spans="1:5" x14ac:dyDescent="0.25">
      <c r="A6" s="107"/>
    </row>
    <row r="7" spans="1:5" x14ac:dyDescent="0.25">
      <c r="A7" s="107"/>
    </row>
    <row r="9" spans="1:5" x14ac:dyDescent="0.25">
      <c r="A9" s="121" t="s">
        <v>4</v>
      </c>
      <c r="B9" s="121"/>
    </row>
    <row r="10" spans="1:5" x14ac:dyDescent="0.25">
      <c r="A10" s="122" t="s">
        <v>10</v>
      </c>
      <c r="B10" s="121"/>
    </row>
    <row r="11" spans="1:5" x14ac:dyDescent="0.25">
      <c r="A11" s="122" t="s">
        <v>7</v>
      </c>
      <c r="B11" s="122"/>
    </row>
    <row r="15" spans="1:5" x14ac:dyDescent="0.25">
      <c r="A15" s="104" t="s">
        <v>8</v>
      </c>
      <c r="B15" s="106">
        <f>+Data!E9</f>
        <v>71.539624000000003</v>
      </c>
    </row>
    <row r="16" spans="1:5" x14ac:dyDescent="0.25">
      <c r="A16" s="105" t="s">
        <v>16</v>
      </c>
      <c r="B16" s="116">
        <f>+Data!C13*0.6666</f>
        <v>4.5928739999999992</v>
      </c>
      <c r="E16" s="119"/>
    </row>
    <row r="17" spans="1:2" x14ac:dyDescent="0.25">
      <c r="A17" s="105" t="s">
        <v>5</v>
      </c>
      <c r="B17" s="111">
        <f>SUM(B15:B16)</f>
        <v>76.132497999999998</v>
      </c>
    </row>
    <row r="21" spans="1:2" ht="12.75" customHeight="1" x14ac:dyDescent="0.25">
      <c r="A21" s="123" t="str">
        <f>CONCATENATE("Average hourly rate for all employees including overheads ",TEXT(Data!E9,"($0.00)")," and vehicles ",TEXT(Data!C13,"($0.00)")," used in the performance of this work multiplied by the time associated with performing this work including travel, test, set-up, etc.")</f>
        <v>Average hourly rate for all employees including overheads ($71.54) and vehicles ($6.89) used in the performance of this work multiplied by the time associated with performing this work including travel, test, set-up, etc.</v>
      </c>
      <c r="B21" s="123"/>
    </row>
    <row r="22" spans="1:2" x14ac:dyDescent="0.25">
      <c r="A22" s="123"/>
      <c r="B22" s="123"/>
    </row>
    <row r="23" spans="1:2" x14ac:dyDescent="0.25">
      <c r="A23" s="123"/>
      <c r="B23" s="123"/>
    </row>
    <row r="24" spans="1:2" x14ac:dyDescent="0.25">
      <c r="A24" s="123"/>
      <c r="B24" s="123"/>
    </row>
    <row r="25" spans="1:2" x14ac:dyDescent="0.25">
      <c r="A25" s="123"/>
      <c r="B25" s="123"/>
    </row>
    <row r="26" spans="1:2" x14ac:dyDescent="0.25">
      <c r="A26" s="123"/>
      <c r="B26" s="123"/>
    </row>
    <row r="29" spans="1:2" ht="12.75" hidden="1" customHeight="1" x14ac:dyDescent="0.25">
      <c r="A29" s="104" t="s">
        <v>19</v>
      </c>
    </row>
    <row r="30" spans="1:2" ht="12.75" hidden="1" customHeight="1" x14ac:dyDescent="0.25">
      <c r="A30" s="104" t="s">
        <v>11</v>
      </c>
      <c r="B30" s="110">
        <f>+Data!E9*0.333333</f>
        <v>23.846517486791999</v>
      </c>
    </row>
    <row r="31" spans="1:2" ht="12.75" hidden="1" customHeight="1" x14ac:dyDescent="0.25">
      <c r="A31" s="104" t="s">
        <v>12</v>
      </c>
      <c r="B31" s="116">
        <f>+B30</f>
        <v>23.846517486791999</v>
      </c>
    </row>
    <row r="32" spans="1:2" ht="12.75" hidden="1" customHeight="1" x14ac:dyDescent="0.25">
      <c r="A32" s="104" t="s">
        <v>13</v>
      </c>
      <c r="B32" s="116">
        <f>+B31</f>
        <v>23.846517486791999</v>
      </c>
    </row>
    <row r="33" spans="1:2" ht="12.75" hidden="1" customHeight="1" x14ac:dyDescent="0.25">
      <c r="A33" s="105" t="s">
        <v>14</v>
      </c>
      <c r="B33" s="116">
        <f>+Data!C13*0.6666</f>
        <v>4.5928739999999992</v>
      </c>
    </row>
    <row r="34" spans="1:2" ht="12.75" hidden="1" customHeight="1" x14ac:dyDescent="0.25">
      <c r="B34" s="112">
        <f>SUM(B30:B33)</f>
        <v>76.132426460375996</v>
      </c>
    </row>
    <row r="35" spans="1:2" x14ac:dyDescent="0.25">
      <c r="B35" s="108"/>
    </row>
    <row r="36" spans="1:2" x14ac:dyDescent="0.25">
      <c r="B36" s="108"/>
    </row>
  </sheetData>
  <mergeCells count="4">
    <mergeCell ref="A9:B9"/>
    <mergeCell ref="A10:B10"/>
    <mergeCell ref="A11:B11"/>
    <mergeCell ref="A21:B26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>
    <oddHeader>&amp;R&amp;"Times New Roman,Bold"&amp;12Conroy Exhibit M5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6"/>
  <sheetViews>
    <sheetView zoomScaleNormal="100" workbookViewId="0">
      <selection activeCell="D16" sqref="D16"/>
    </sheetView>
  </sheetViews>
  <sheetFormatPr defaultRowHeight="15.75" x14ac:dyDescent="0.25"/>
  <cols>
    <col min="1" max="1" width="24.5703125" style="104" customWidth="1"/>
    <col min="2" max="2" width="18.28515625" style="104" customWidth="1"/>
    <col min="3" max="3" width="12.42578125" style="104" bestFit="1" customWidth="1"/>
    <col min="4" max="16384" width="9.140625" style="104"/>
  </cols>
  <sheetData>
    <row r="1" spans="1:3" x14ac:dyDescent="0.25">
      <c r="A1" s="114"/>
      <c r="C1" s="108"/>
    </row>
    <row r="2" spans="1:3" x14ac:dyDescent="0.25">
      <c r="A2" s="114"/>
      <c r="C2" s="108"/>
    </row>
    <row r="3" spans="1:3" x14ac:dyDescent="0.25">
      <c r="A3" s="114"/>
      <c r="C3" s="108"/>
    </row>
    <row r="4" spans="1:3" x14ac:dyDescent="0.25">
      <c r="A4" s="114"/>
      <c r="C4" s="108"/>
    </row>
    <row r="5" spans="1:3" x14ac:dyDescent="0.25">
      <c r="A5" s="114"/>
      <c r="C5" s="108"/>
    </row>
    <row r="6" spans="1:3" x14ac:dyDescent="0.25">
      <c r="A6" s="114"/>
      <c r="C6" s="108"/>
    </row>
    <row r="7" spans="1:3" x14ac:dyDescent="0.25">
      <c r="A7" s="114"/>
      <c r="C7" s="108"/>
    </row>
    <row r="9" spans="1:3" x14ac:dyDescent="0.25">
      <c r="A9" s="121" t="s">
        <v>4</v>
      </c>
      <c r="B9" s="121"/>
    </row>
    <row r="10" spans="1:3" x14ac:dyDescent="0.25">
      <c r="A10" s="121" t="s">
        <v>6</v>
      </c>
      <c r="B10" s="121"/>
    </row>
    <row r="11" spans="1:3" x14ac:dyDescent="0.25">
      <c r="A11" s="122" t="s">
        <v>7</v>
      </c>
      <c r="B11" s="122"/>
    </row>
    <row r="15" spans="1:3" x14ac:dyDescent="0.25">
      <c r="A15" s="104" t="s">
        <v>2</v>
      </c>
      <c r="B15" s="106">
        <f>+'Cost Per Order Type'!G20</f>
        <v>14.685118720188528</v>
      </c>
    </row>
    <row r="16" spans="1:3" x14ac:dyDescent="0.25">
      <c r="A16" s="104" t="s">
        <v>3</v>
      </c>
      <c r="B16" s="116">
        <f>+B15</f>
        <v>14.685118720188528</v>
      </c>
    </row>
    <row r="17" spans="1:2" x14ac:dyDescent="0.25">
      <c r="A17" s="105" t="s">
        <v>5</v>
      </c>
      <c r="B17" s="111">
        <f>SUM(B15:B16)</f>
        <v>29.370237440377057</v>
      </c>
    </row>
    <row r="21" spans="1:2" ht="12.75" customHeight="1" x14ac:dyDescent="0.25">
      <c r="A21" s="123" t="str">
        <f>CONCATENATE("Based on average cost per credit order. ",TEXT('Cost Per Order Type'!G20,"($0.00)")," Cost per credit order consist of labor, transporation, supplies, and equipment. Front and back office service order processing expenses are not included.")</f>
        <v>Based on average cost per credit order. ($14.69) Cost per credit order consist of labor, transporation, supplies, and equipment. Front and back office service order processing expenses are not included.</v>
      </c>
      <c r="B21" s="123"/>
    </row>
    <row r="22" spans="1:2" x14ac:dyDescent="0.25">
      <c r="A22" s="123"/>
      <c r="B22" s="123"/>
    </row>
    <row r="23" spans="1:2" x14ac:dyDescent="0.25">
      <c r="A23" s="123"/>
      <c r="B23" s="123"/>
    </row>
    <row r="24" spans="1:2" x14ac:dyDescent="0.25">
      <c r="A24" s="123"/>
      <c r="B24" s="123"/>
    </row>
    <row r="25" spans="1:2" x14ac:dyDescent="0.25">
      <c r="A25" s="123"/>
      <c r="B25" s="123"/>
    </row>
    <row r="26" spans="1:2" x14ac:dyDescent="0.25">
      <c r="A26" s="123"/>
      <c r="B26" s="123"/>
    </row>
  </sheetData>
  <mergeCells count="4">
    <mergeCell ref="A21:B26"/>
    <mergeCell ref="A9:B9"/>
    <mergeCell ref="A10:B10"/>
    <mergeCell ref="A11:B11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>
    <oddHeader>&amp;R&amp;"Times New Roman,Bold"&amp;12Conroy Exhibit M6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B2" sqref="B2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1"/>
  <sheetViews>
    <sheetView zoomScaleNormal="100" workbookViewId="0">
      <selection activeCell="I30" sqref="I30"/>
    </sheetView>
  </sheetViews>
  <sheetFormatPr defaultRowHeight="15.75" x14ac:dyDescent="0.25"/>
  <cols>
    <col min="1" max="1" width="33.7109375" style="104" customWidth="1"/>
    <col min="2" max="2" width="15" style="104" customWidth="1"/>
    <col min="3" max="3" width="12.42578125" style="104" bestFit="1" customWidth="1"/>
    <col min="4" max="16384" width="9.140625" style="104"/>
  </cols>
  <sheetData>
    <row r="1" spans="1:3" x14ac:dyDescent="0.25">
      <c r="A1" s="113"/>
      <c r="C1" s="108"/>
    </row>
    <row r="2" spans="1:3" x14ac:dyDescent="0.25">
      <c r="A2" s="114"/>
      <c r="C2" s="108"/>
    </row>
    <row r="3" spans="1:3" x14ac:dyDescent="0.25">
      <c r="A3" s="114"/>
      <c r="C3" s="108"/>
    </row>
    <row r="4" spans="1:3" x14ac:dyDescent="0.25">
      <c r="A4" s="114"/>
      <c r="C4" s="108"/>
    </row>
    <row r="5" spans="1:3" x14ac:dyDescent="0.25">
      <c r="A5" s="114"/>
      <c r="C5" s="108"/>
    </row>
    <row r="6" spans="1:3" x14ac:dyDescent="0.25">
      <c r="A6" s="114"/>
      <c r="C6" s="108"/>
    </row>
    <row r="7" spans="1:3" x14ac:dyDescent="0.25">
      <c r="A7" s="114"/>
      <c r="C7" s="108"/>
    </row>
    <row r="9" spans="1:3" x14ac:dyDescent="0.25">
      <c r="A9" s="122" t="s">
        <v>9</v>
      </c>
      <c r="B9" s="121"/>
    </row>
    <row r="10" spans="1:3" x14ac:dyDescent="0.25">
      <c r="A10" s="121" t="s">
        <v>6</v>
      </c>
      <c r="B10" s="121"/>
    </row>
    <row r="11" spans="1:3" x14ac:dyDescent="0.25">
      <c r="A11" s="122" t="s">
        <v>7</v>
      </c>
      <c r="B11" s="122"/>
    </row>
    <row r="15" spans="1:3" x14ac:dyDescent="0.25">
      <c r="A15" s="104" t="s">
        <v>2</v>
      </c>
      <c r="B15" s="106">
        <f>+'Cost Per Order Type'!G16</f>
        <v>13.809740179017027</v>
      </c>
    </row>
    <row r="16" spans="1:3" x14ac:dyDescent="0.25">
      <c r="A16" s="104" t="s">
        <v>3</v>
      </c>
      <c r="B16" s="116">
        <f>+B15</f>
        <v>13.809740179017027</v>
      </c>
    </row>
    <row r="17" spans="1:2" x14ac:dyDescent="0.25">
      <c r="A17" s="105" t="s">
        <v>5</v>
      </c>
      <c r="B17" s="111">
        <f>SUM(B15:B16)</f>
        <v>27.619480358034053</v>
      </c>
    </row>
    <row r="21" spans="1:2" ht="12.75" customHeight="1" x14ac:dyDescent="0.25">
      <c r="A21" s="124" t="str">
        <f>CONCATENATE("Based on average cost per credit order. ",TEXT('Cost Per Order Type'!G16,"($0.00)")," Cost per credit order consist of labor, transporation, supplies, and equipment. Front and back office service order processing expenses are not included.")</f>
        <v>Based on average cost per credit order. ($13.81) Cost per credit order consist of labor, transporation, supplies, and equipment. Front and back office service order processing expenses are not included.</v>
      </c>
      <c r="B21" s="124"/>
    </row>
    <row r="22" spans="1:2" x14ac:dyDescent="0.25">
      <c r="A22" s="124"/>
      <c r="B22" s="124"/>
    </row>
    <row r="23" spans="1:2" x14ac:dyDescent="0.25">
      <c r="A23" s="124"/>
      <c r="B23" s="124"/>
    </row>
    <row r="24" spans="1:2" x14ac:dyDescent="0.25">
      <c r="A24" s="124"/>
      <c r="B24" s="124"/>
    </row>
    <row r="25" spans="1:2" x14ac:dyDescent="0.25">
      <c r="A25" s="124"/>
      <c r="B25" s="124"/>
    </row>
    <row r="26" spans="1:2" x14ac:dyDescent="0.25">
      <c r="A26" s="124"/>
      <c r="B26" s="124"/>
    </row>
    <row r="30" spans="1:2" ht="12.75" customHeight="1" x14ac:dyDescent="0.25"/>
    <row r="31" spans="1:2" x14ac:dyDescent="0.25">
      <c r="A31" s="118"/>
    </row>
  </sheetData>
  <mergeCells count="4">
    <mergeCell ref="A21:B26"/>
    <mergeCell ref="A9:B9"/>
    <mergeCell ref="A10:B10"/>
    <mergeCell ref="A11:B11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>
    <oddHeader>&amp;R&amp;"Times New Roman,Bold"&amp;12Conroy Exhibit M8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6"/>
  <sheetViews>
    <sheetView zoomScaleNormal="100" workbookViewId="0">
      <selection activeCell="G22" sqref="G22"/>
    </sheetView>
  </sheetViews>
  <sheetFormatPr defaultRowHeight="15.75" x14ac:dyDescent="0.25"/>
  <cols>
    <col min="1" max="1" width="30" style="104" customWidth="1"/>
    <col min="2" max="2" width="15" style="104" customWidth="1"/>
    <col min="3" max="16384" width="9.140625" style="104"/>
  </cols>
  <sheetData>
    <row r="1" spans="1:2" x14ac:dyDescent="0.25">
      <c r="A1" s="115"/>
    </row>
    <row r="2" spans="1:2" x14ac:dyDescent="0.25">
      <c r="A2" s="107"/>
    </row>
    <row r="3" spans="1:2" x14ac:dyDescent="0.25">
      <c r="A3" s="107"/>
    </row>
    <row r="4" spans="1:2" x14ac:dyDescent="0.25">
      <c r="A4" s="107"/>
    </row>
    <row r="5" spans="1:2" x14ac:dyDescent="0.25">
      <c r="A5" s="107"/>
    </row>
    <row r="6" spans="1:2" x14ac:dyDescent="0.25">
      <c r="A6" s="107"/>
    </row>
    <row r="7" spans="1:2" x14ac:dyDescent="0.25">
      <c r="A7" s="107"/>
    </row>
    <row r="9" spans="1:2" x14ac:dyDescent="0.25">
      <c r="A9" s="122" t="s">
        <v>9</v>
      </c>
      <c r="B9" s="121"/>
    </row>
    <row r="10" spans="1:2" x14ac:dyDescent="0.25">
      <c r="A10" s="122" t="s">
        <v>10</v>
      </c>
      <c r="B10" s="121"/>
    </row>
    <row r="11" spans="1:2" x14ac:dyDescent="0.25">
      <c r="A11" s="122" t="s">
        <v>7</v>
      </c>
      <c r="B11" s="122"/>
    </row>
    <row r="15" spans="1:2" x14ac:dyDescent="0.25">
      <c r="A15" s="104" t="s">
        <v>8</v>
      </c>
      <c r="B15" s="106">
        <f>+Data!D8</f>
        <v>69.731832300000008</v>
      </c>
    </row>
    <row r="16" spans="1:2" x14ac:dyDescent="0.25">
      <c r="A16" s="105" t="s">
        <v>16</v>
      </c>
      <c r="B16" s="116">
        <f>+Data!C13*0.666</f>
        <v>4.5887399999999996</v>
      </c>
    </row>
    <row r="17" spans="1:2" x14ac:dyDescent="0.25">
      <c r="A17" s="105" t="s">
        <v>5</v>
      </c>
      <c r="B17" s="111">
        <f>SUM(B15:B16)</f>
        <v>74.320572300000009</v>
      </c>
    </row>
    <row r="21" spans="1:2" ht="12.75" customHeight="1" x14ac:dyDescent="0.25">
      <c r="A21" s="123" t="str">
        <f>CONCATENATE("Average hourly rate for all employees including overheads ",TEXT(Data!D8,"($0.00)")," and vehicles ",TEXT(Data!C13,"($0.00)")," used in the performance of this work multiplied by the time associated with performing this work including travel, test, set-up, etc.")</f>
        <v>Average hourly rate for all employees including overheads ($69.73) and vehicles ($6.89) used in the performance of this work multiplied by the time associated with performing this work including travel, test, set-up, etc.</v>
      </c>
      <c r="B21" s="123"/>
    </row>
    <row r="22" spans="1:2" x14ac:dyDescent="0.25">
      <c r="A22" s="123"/>
      <c r="B22" s="123"/>
    </row>
    <row r="23" spans="1:2" x14ac:dyDescent="0.25">
      <c r="A23" s="123"/>
      <c r="B23" s="123"/>
    </row>
    <row r="24" spans="1:2" x14ac:dyDescent="0.25">
      <c r="A24" s="123"/>
      <c r="B24" s="123"/>
    </row>
    <row r="25" spans="1:2" x14ac:dyDescent="0.25">
      <c r="A25" s="123"/>
      <c r="B25" s="123"/>
    </row>
    <row r="26" spans="1:2" x14ac:dyDescent="0.25">
      <c r="A26" s="123"/>
      <c r="B26" s="123"/>
    </row>
    <row r="29" spans="1:2" hidden="1" x14ac:dyDescent="0.25">
      <c r="A29" s="104" t="s">
        <v>19</v>
      </c>
    </row>
    <row r="30" spans="1:2" hidden="1" x14ac:dyDescent="0.25">
      <c r="A30" s="105" t="s">
        <v>11</v>
      </c>
      <c r="B30" s="110">
        <f>+Data!D8*0.333333</f>
        <v>23.243920856055901</v>
      </c>
    </row>
    <row r="31" spans="1:2" hidden="1" x14ac:dyDescent="0.25">
      <c r="A31" s="105" t="s">
        <v>12</v>
      </c>
      <c r="B31" s="116">
        <f>+B30</f>
        <v>23.243920856055901</v>
      </c>
    </row>
    <row r="32" spans="1:2" hidden="1" x14ac:dyDescent="0.25">
      <c r="A32" s="104" t="s">
        <v>13</v>
      </c>
      <c r="B32" s="116">
        <f>+B31</f>
        <v>23.243920856055901</v>
      </c>
    </row>
    <row r="33" spans="1:2" hidden="1" x14ac:dyDescent="0.25">
      <c r="A33" s="105" t="s">
        <v>14</v>
      </c>
      <c r="B33" s="116">
        <f>+Data!C13*0.666</f>
        <v>4.5887399999999996</v>
      </c>
    </row>
    <row r="34" spans="1:2" hidden="1" x14ac:dyDescent="0.25">
      <c r="B34" s="112">
        <f>SUM(B30:B33)</f>
        <v>74.320502568167711</v>
      </c>
    </row>
    <row r="35" spans="1:2" x14ac:dyDescent="0.25">
      <c r="B35" s="117"/>
    </row>
    <row r="36" spans="1:2" x14ac:dyDescent="0.25">
      <c r="B36" s="108"/>
    </row>
  </sheetData>
  <mergeCells count="4">
    <mergeCell ref="A9:B9"/>
    <mergeCell ref="A10:B10"/>
    <mergeCell ref="A11:B11"/>
    <mergeCell ref="A21:B26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>
    <oddHeader>&amp;R&amp;"Times New Roman,Bold"&amp;12Conroy Exhibit M6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0"/>
  <sheetViews>
    <sheetView zoomScaleNormal="100" workbookViewId="0">
      <selection activeCell="H19" sqref="H19"/>
    </sheetView>
  </sheetViews>
  <sheetFormatPr defaultRowHeight="15.75" x14ac:dyDescent="0.25"/>
  <cols>
    <col min="1" max="1" width="26.28515625" style="104" customWidth="1"/>
    <col min="2" max="2" width="15" style="104" customWidth="1"/>
    <col min="3" max="3" width="12.42578125" style="104" bestFit="1" customWidth="1"/>
    <col min="4" max="16384" width="9.140625" style="104"/>
  </cols>
  <sheetData>
    <row r="1" spans="1:3" x14ac:dyDescent="0.25">
      <c r="A1" s="107"/>
      <c r="C1" s="108"/>
    </row>
    <row r="2" spans="1:3" x14ac:dyDescent="0.25">
      <c r="A2" s="107"/>
      <c r="C2" s="108"/>
    </row>
    <row r="3" spans="1:3" x14ac:dyDescent="0.25">
      <c r="A3" s="107"/>
      <c r="C3" s="108"/>
    </row>
    <row r="4" spans="1:3" x14ac:dyDescent="0.25">
      <c r="A4" s="107"/>
      <c r="C4" s="108"/>
    </row>
    <row r="5" spans="1:3" x14ac:dyDescent="0.25">
      <c r="A5" s="107"/>
      <c r="C5" s="108"/>
    </row>
    <row r="6" spans="1:3" x14ac:dyDescent="0.25">
      <c r="A6" s="107"/>
      <c r="C6" s="108"/>
    </row>
    <row r="7" spans="1:3" x14ac:dyDescent="0.25">
      <c r="A7" s="107"/>
      <c r="C7" s="108"/>
    </row>
    <row r="9" spans="1:3" x14ac:dyDescent="0.25">
      <c r="A9" s="122" t="s">
        <v>9</v>
      </c>
      <c r="B9" s="121"/>
    </row>
    <row r="10" spans="1:3" x14ac:dyDescent="0.25">
      <c r="A10" s="121" t="s">
        <v>15</v>
      </c>
      <c r="B10" s="121"/>
    </row>
    <row r="11" spans="1:3" x14ac:dyDescent="0.25">
      <c r="A11" s="122" t="s">
        <v>7</v>
      </c>
      <c r="B11" s="122"/>
    </row>
    <row r="15" spans="1:3" x14ac:dyDescent="0.25">
      <c r="A15" s="105" t="s">
        <v>17</v>
      </c>
      <c r="B15" s="106">
        <f>+Data!B17</f>
        <v>49.667579999999994</v>
      </c>
    </row>
    <row r="16" spans="1:3" x14ac:dyDescent="0.25">
      <c r="A16" s="109" t="s">
        <v>18</v>
      </c>
      <c r="B16" s="110">
        <f>+Data!B18</f>
        <v>40.6</v>
      </c>
    </row>
    <row r="17" spans="1:2" x14ac:dyDescent="0.25">
      <c r="A17" s="105" t="s">
        <v>5</v>
      </c>
      <c r="B17" s="111">
        <f>SUM(B15:B16)</f>
        <v>90.267579999999995</v>
      </c>
    </row>
    <row r="21" spans="1:2" ht="12.75" customHeight="1" x14ac:dyDescent="0.25">
      <c r="A21" s="125" t="s">
        <v>22</v>
      </c>
      <c r="B21" s="123"/>
    </row>
    <row r="22" spans="1:2" x14ac:dyDescent="0.25">
      <c r="A22" s="123"/>
      <c r="B22" s="123"/>
    </row>
    <row r="23" spans="1:2" x14ac:dyDescent="0.25">
      <c r="A23" s="123"/>
      <c r="B23" s="123"/>
    </row>
    <row r="24" spans="1:2" x14ac:dyDescent="0.25">
      <c r="A24" s="123"/>
      <c r="B24" s="123"/>
    </row>
    <row r="25" spans="1:2" x14ac:dyDescent="0.25">
      <c r="A25" s="123"/>
      <c r="B25" s="123"/>
    </row>
    <row r="26" spans="1:2" x14ac:dyDescent="0.25">
      <c r="A26" s="123"/>
      <c r="B26" s="123"/>
    </row>
    <row r="29" spans="1:2" x14ac:dyDescent="0.25">
      <c r="B29" s="108"/>
    </row>
    <row r="30" spans="1:2" x14ac:dyDescent="0.25">
      <c r="B30" s="108"/>
    </row>
  </sheetData>
  <mergeCells count="4">
    <mergeCell ref="A21:B26"/>
    <mergeCell ref="A9:B9"/>
    <mergeCell ref="A10:B10"/>
    <mergeCell ref="A11:B11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>
    <oddHeader>&amp;R&amp;"Times New Roman,Bold"&amp;12Conroy Exhibit M7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0"/>
  <sheetViews>
    <sheetView zoomScaleNormal="100" workbookViewId="0">
      <selection activeCell="B28" sqref="B28"/>
    </sheetView>
  </sheetViews>
  <sheetFormatPr defaultRowHeight="15.75" x14ac:dyDescent="0.25"/>
  <cols>
    <col min="1" max="1" width="27.7109375" style="104" customWidth="1"/>
    <col min="2" max="2" width="15" style="104" customWidth="1"/>
    <col min="3" max="3" width="12.42578125" style="104" bestFit="1" customWidth="1"/>
    <col min="4" max="16384" width="9.140625" style="104"/>
  </cols>
  <sheetData>
    <row r="1" spans="1:3" x14ac:dyDescent="0.25">
      <c r="A1" s="107"/>
      <c r="C1" s="108"/>
    </row>
    <row r="2" spans="1:3" x14ac:dyDescent="0.25">
      <c r="A2" s="107"/>
      <c r="C2" s="108"/>
    </row>
    <row r="3" spans="1:3" x14ac:dyDescent="0.25">
      <c r="A3" s="107"/>
      <c r="C3" s="108"/>
    </row>
    <row r="4" spans="1:3" x14ac:dyDescent="0.25">
      <c r="A4" s="107"/>
      <c r="C4" s="108"/>
    </row>
    <row r="5" spans="1:3" x14ac:dyDescent="0.25">
      <c r="A5" s="107"/>
      <c r="C5" s="108"/>
    </row>
    <row r="6" spans="1:3" x14ac:dyDescent="0.25">
      <c r="A6" s="107"/>
      <c r="C6" s="108"/>
    </row>
    <row r="7" spans="1:3" x14ac:dyDescent="0.25">
      <c r="A7" s="107"/>
      <c r="C7" s="108"/>
    </row>
    <row r="9" spans="1:3" x14ac:dyDescent="0.25">
      <c r="A9" s="122" t="s">
        <v>9</v>
      </c>
      <c r="B9" s="121"/>
    </row>
    <row r="10" spans="1:3" x14ac:dyDescent="0.25">
      <c r="A10" s="121" t="s">
        <v>63</v>
      </c>
      <c r="B10" s="121"/>
    </row>
    <row r="11" spans="1:3" x14ac:dyDescent="0.25">
      <c r="A11" s="122" t="s">
        <v>7</v>
      </c>
      <c r="B11" s="122"/>
    </row>
    <row r="15" spans="1:3" x14ac:dyDescent="0.25">
      <c r="A15" s="105" t="s">
        <v>17</v>
      </c>
      <c r="B15" s="106">
        <f>+Data!C28+Data!C29</f>
        <v>142.8059763</v>
      </c>
    </row>
    <row r="16" spans="1:3" x14ac:dyDescent="0.25">
      <c r="A16" s="109" t="s">
        <v>72</v>
      </c>
      <c r="B16" s="110">
        <f>+Data!C30</f>
        <v>7.27</v>
      </c>
    </row>
    <row r="17" spans="1:2" x14ac:dyDescent="0.25">
      <c r="A17" s="105" t="s">
        <v>5</v>
      </c>
      <c r="B17" s="111">
        <f>SUM(B15:B16)</f>
        <v>150.07597630000001</v>
      </c>
    </row>
    <row r="21" spans="1:2" ht="12.75" customHeight="1" x14ac:dyDescent="0.25">
      <c r="A21" s="126" t="s">
        <v>71</v>
      </c>
      <c r="B21" s="124"/>
    </row>
    <row r="22" spans="1:2" x14ac:dyDescent="0.25">
      <c r="A22" s="124"/>
      <c r="B22" s="124"/>
    </row>
    <row r="23" spans="1:2" x14ac:dyDescent="0.25">
      <c r="A23" s="124"/>
      <c r="B23" s="124"/>
    </row>
    <row r="24" spans="1:2" x14ac:dyDescent="0.25">
      <c r="A24" s="124"/>
      <c r="B24" s="124"/>
    </row>
    <row r="25" spans="1:2" x14ac:dyDescent="0.25">
      <c r="A25" s="124"/>
      <c r="B25" s="124"/>
    </row>
    <row r="26" spans="1:2" x14ac:dyDescent="0.25">
      <c r="A26" s="124"/>
      <c r="B26" s="124"/>
    </row>
    <row r="29" spans="1:2" x14ac:dyDescent="0.25">
      <c r="B29" s="108"/>
    </row>
    <row r="30" spans="1:2" x14ac:dyDescent="0.25">
      <c r="B30" s="108"/>
    </row>
  </sheetData>
  <mergeCells count="4">
    <mergeCell ref="A9:B9"/>
    <mergeCell ref="A10:B10"/>
    <mergeCell ref="A11:B11"/>
    <mergeCell ref="A21:B26"/>
  </mergeCells>
  <printOptions horizontalCentered="1"/>
  <pageMargins left="0.75" right="0.75" top="1" bottom="1" header="0.5" footer="0.5"/>
  <pageSetup orientation="portrait" r:id="rId1"/>
  <headerFooter alignWithMargins="0">
    <oddHeader>&amp;R&amp;"Times New Roman,Bold"&amp;12Conroy Exhibit M12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Summary</vt:lpstr>
      <vt:lpstr>KU Exhibits==&gt;</vt:lpstr>
      <vt:lpstr>KU Conroy Exhibit M5</vt:lpstr>
      <vt:lpstr>KU Conroy Exhibit M6</vt:lpstr>
      <vt:lpstr>LGE Exhibits==&gt;</vt:lpstr>
      <vt:lpstr>LG&amp;E Disconnect Reconnect ExhM8</vt:lpstr>
      <vt:lpstr>LG&amp;E-E Meter Test M6</vt:lpstr>
      <vt:lpstr>LG&amp;E-G Meter Test M7</vt:lpstr>
      <vt:lpstr>LG&amp;E-G Inspection Charge M12</vt:lpstr>
      <vt:lpstr>Data</vt:lpstr>
      <vt:lpstr>Cost Per Order Type</vt:lpstr>
      <vt:lpstr>'KU Conroy Exhibit M5'!Print_Area</vt:lpstr>
      <vt:lpstr>'KU Conroy Exhibit M6'!Print_Area</vt:lpstr>
      <vt:lpstr>'LG&amp;E Disconnect Reconnect ExhM8'!Print_Area</vt:lpstr>
      <vt:lpstr>'LG&amp;E-E Meter Test M6'!Print_Area</vt:lpstr>
      <vt:lpstr>'LG&amp;E-G Inspection Charge M12'!Print_Area</vt:lpstr>
      <vt:lpstr>'LG&amp;E-G Meter Test M7'!Print_Area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2012-08-09T18:15:27Z</dcterms:created>
  <dcterms:modified xsi:type="dcterms:W3CDTF">2012-08-09T18:15:40Z</dcterms:modified>
</cp:coreProperties>
</file>