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540" windowHeight="10830" activeTab="1"/>
  </bookViews>
  <sheets>
    <sheet name="30-Year" sheetId="1" r:id="rId1"/>
    <sheet name="WACOC-Tax Table" sheetId="2" r:id="rId2"/>
    <sheet name="NPV" sheetId="3" r:id="rId3"/>
  </sheets>
  <definedNames>
    <definedName name="_xlnm.Print_Area" localSheetId="2">'NPV'!$A$1:$Q$72</definedName>
    <definedName name="_xlnm.Print_Titles" localSheetId="2">'NPV'!$A:$A</definedName>
  </definedNames>
  <calcPr fullCalcOnLoad="1"/>
</workbook>
</file>

<file path=xl/sharedStrings.xml><?xml version="1.0" encoding="utf-8"?>
<sst xmlns="http://schemas.openxmlformats.org/spreadsheetml/2006/main" count="155" uniqueCount="94">
  <si>
    <t>Percentage</t>
  </si>
  <si>
    <t>Present Value</t>
  </si>
  <si>
    <t>Cumulative</t>
  </si>
  <si>
    <t>(1)</t>
  </si>
  <si>
    <t>Year</t>
  </si>
  <si>
    <t>(2)</t>
  </si>
  <si>
    <t>(3)</t>
  </si>
  <si>
    <t>(4)</t>
  </si>
  <si>
    <t>Present</t>
  </si>
  <si>
    <t>Replacement</t>
  </si>
  <si>
    <t>Value of</t>
  </si>
  <si>
    <t>Replaced</t>
  </si>
  <si>
    <t>(5)</t>
  </si>
  <si>
    <t>Annual</t>
  </si>
  <si>
    <t>(6)</t>
  </si>
  <si>
    <t>(7)</t>
  </si>
  <si>
    <t>(3) x (5)</t>
  </si>
  <si>
    <t>Iowa Curve</t>
  </si>
  <si>
    <t xml:space="preserve">Percent </t>
  </si>
  <si>
    <t>Surviving</t>
  </si>
  <si>
    <t>Cost Escalation</t>
  </si>
  <si>
    <t>Cost</t>
  </si>
  <si>
    <t>Factor at a</t>
  </si>
  <si>
    <t>Inflation Factor</t>
  </si>
  <si>
    <t>Nominal</t>
  </si>
  <si>
    <t>Discount Rate</t>
  </si>
  <si>
    <t>(6) x (7)</t>
  </si>
  <si>
    <t>(8)</t>
  </si>
  <si>
    <t>(9)</t>
  </si>
  <si>
    <t>30 Year R2</t>
  </si>
  <si>
    <t>Present Value of Replacement Plant as a Percentage of Original Cost</t>
  </si>
  <si>
    <t>Original Cost Value</t>
  </si>
  <si>
    <t>O&amp;M Percentage</t>
  </si>
  <si>
    <t>Total Excess Facilities Charge</t>
  </si>
  <si>
    <t>Assuming</t>
  </si>
  <si>
    <t>Customer Makes</t>
  </si>
  <si>
    <t>Customer Does</t>
  </si>
  <si>
    <t>Not Make</t>
  </si>
  <si>
    <t>Excess Facilities Charges</t>
  </si>
  <si>
    <t>Total Present Value of Original and Replacement Cost Value as a Percentage of Original Cost</t>
  </si>
  <si>
    <t>Tax Depreciation Table (MACRS)</t>
  </si>
  <si>
    <t>Common Equity</t>
  </si>
  <si>
    <t>Rate</t>
  </si>
  <si>
    <t>Tax Rate</t>
  </si>
  <si>
    <t>COC</t>
  </si>
  <si>
    <t>Percent</t>
  </si>
  <si>
    <t>Adjusted</t>
  </si>
  <si>
    <t>Weighted</t>
  </si>
  <si>
    <t>Capital Structure:</t>
  </si>
  <si>
    <t>Kentucky Utilities</t>
  </si>
  <si>
    <t>Requirement</t>
  </si>
  <si>
    <t>Factor</t>
  </si>
  <si>
    <t>Taxes</t>
  </si>
  <si>
    <t>O&amp;M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</si>
  <si>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</si>
  <si>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</si>
  <si>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</si>
  <si>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</si>
  <si>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</si>
  <si>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</si>
  <si>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</si>
  <si>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</si>
  <si>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</si>
  <si>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</si>
  <si>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Property 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</si>
  <si>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</si>
  <si>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</si>
  <si>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</si>
  <si>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</si>
  <si>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</si>
  <si>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</si>
  <si>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</si>
  <si>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>Times Net Revenue</t>
  </si>
  <si>
    <t xml:space="preserve">   Level of Investment that can be Supported by Revenue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</si>
  <si>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</si>
  <si>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</si>
  <si>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</si>
  <si>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</si>
  <si>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O&amp;M as Percent of Investment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</si>
  <si>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</si>
  <si>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</si>
  <si>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</si>
  <si>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</si>
  <si>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</si>
  <si>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</si>
  <si>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</si>
  <si>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Monthly Carrying Charge Percentage (Levelized Carrying Charge Rate / 12 months)</t>
  </si>
  <si>
    <t>Applicable Carrying Charge Charge Percentage (Lines 3 x 5)</t>
  </si>
  <si>
    <t>Levelized Carrying Charge Analysis</t>
  </si>
  <si>
    <t>Contribution</t>
  </si>
  <si>
    <t>In Aid of</t>
  </si>
  <si>
    <t>Construction</t>
  </si>
  <si>
    <t>Short Term Debt</t>
  </si>
  <si>
    <t>Long Term Debt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</si>
</sst>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&quot;$&quot;#,##0\ ;\(&quot;$&quot;#,##0\)"/>
    <numFmt numFmtId="176" formatCode="_([$€-2]* #,##0.00_);_([$€-2]* \(#,##0.00\);_([$€-2]* &quot;-&quot;??_)"/>
    <numFmt numFmtId="177" formatCode="_(* #,##0.000000_);_(* \(#,##0.000000\);_(* &quot;-&quot;??_);_(@_)"/>
    <numFmt numFmtId="178" formatCode="0.0000%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" fillId="29" borderId="0">
      <alignment horizontal="left"/>
      <protection/>
    </xf>
    <xf numFmtId="0" fontId="5" fillId="29" borderId="0">
      <alignment horizontal="right"/>
      <protection/>
    </xf>
    <xf numFmtId="0" fontId="6" fillId="30" borderId="0">
      <alignment horizontal="center"/>
      <protection/>
    </xf>
    <xf numFmtId="0" fontId="5" fillId="29" borderId="0">
      <alignment horizontal="right"/>
      <protection/>
    </xf>
    <xf numFmtId="0" fontId="7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31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Protection="0">
      <alignment/>
    </xf>
    <xf numFmtId="0" fontId="8" fillId="0" borderId="0" applyProtection="0">
      <alignment/>
    </xf>
    <xf numFmtId="0" fontId="3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 applyProtection="0">
      <alignment/>
    </xf>
    <xf numFmtId="0" fontId="9" fillId="0" borderId="0" applyProtection="0">
      <alignment/>
    </xf>
    <xf numFmtId="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1" applyNumberFormat="0" applyAlignment="0" applyProtection="0"/>
    <xf numFmtId="0" fontId="4" fillId="29" borderId="0">
      <alignment horizontal="left"/>
      <protection/>
    </xf>
    <xf numFmtId="0" fontId="10" fillId="30" borderId="0">
      <alignment horizontal="left"/>
      <protection/>
    </xf>
    <xf numFmtId="0" fontId="49" fillId="0" borderId="6" applyNumberFormat="0" applyFill="0" applyAlignment="0" applyProtection="0"/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0" fontId="51" fillId="27" borderId="8" applyNumberFormat="0" applyAlignment="0" applyProtection="0"/>
    <xf numFmtId="4" fontId="11" fillId="30" borderId="0">
      <alignment horizontal="right"/>
      <protection/>
    </xf>
    <xf numFmtId="0" fontId="12" fillId="30" borderId="0">
      <alignment horizontal="center" vertical="center"/>
      <protection/>
    </xf>
    <xf numFmtId="0" fontId="10" fillId="30" borderId="9">
      <alignment/>
      <protection/>
    </xf>
    <xf numFmtId="0" fontId="12" fillId="30" borderId="0" applyBorder="0">
      <alignment horizontal="centerContinuous"/>
      <protection/>
    </xf>
    <xf numFmtId="0" fontId="13" fillId="3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6" borderId="0">
      <alignment horizontal="center"/>
      <protection/>
    </xf>
    <xf numFmtId="49" fontId="14" fillId="30" borderId="0">
      <alignment horizontal="center"/>
      <protection/>
    </xf>
    <xf numFmtId="0" fontId="5" fillId="29" borderId="0">
      <alignment horizontal="center"/>
      <protection/>
    </xf>
    <xf numFmtId="0" fontId="5" fillId="29" borderId="0">
      <alignment horizontal="centerContinuous"/>
      <protection/>
    </xf>
    <xf numFmtId="0" fontId="15" fillId="30" borderId="0">
      <alignment horizontal="left"/>
      <protection/>
    </xf>
    <xf numFmtId="49" fontId="15" fillId="30" borderId="0">
      <alignment horizontal="center"/>
      <protection/>
    </xf>
    <xf numFmtId="0" fontId="4" fillId="29" borderId="0">
      <alignment horizontal="left"/>
      <protection/>
    </xf>
    <xf numFmtId="49" fontId="15" fillId="30" borderId="0">
      <alignment horizontal="left"/>
      <protection/>
    </xf>
    <xf numFmtId="0" fontId="4" fillId="29" borderId="0">
      <alignment horizontal="centerContinuous"/>
      <protection/>
    </xf>
    <xf numFmtId="0" fontId="4" fillId="29" borderId="0">
      <alignment horizontal="right"/>
      <protection/>
    </xf>
    <xf numFmtId="49" fontId="10" fillId="30" borderId="0">
      <alignment horizontal="left"/>
      <protection/>
    </xf>
    <xf numFmtId="0" fontId="5" fillId="29" borderId="0">
      <alignment horizontal="right"/>
      <protection/>
    </xf>
    <xf numFmtId="0" fontId="15" fillId="37" borderId="0">
      <alignment horizontal="center"/>
      <protection/>
    </xf>
    <xf numFmtId="0" fontId="16" fillId="3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17" fillId="30" borderId="0">
      <alignment horizontal="center"/>
      <protection/>
    </xf>
    <xf numFmtId="0" fontId="5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0" fontId="8" fillId="0" borderId="0" xfId="90" applyNumberFormat="1" applyFont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166" fontId="8" fillId="0" borderId="0" xfId="47" applyNumberFormat="1" applyFont="1" applyAlignment="1" quotePrefix="1">
      <alignment horizontal="center"/>
    </xf>
    <xf numFmtId="166" fontId="8" fillId="0" borderId="0" xfId="47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173" fontId="8" fillId="0" borderId="0" xfId="47" applyNumberFormat="1" applyFont="1" applyAlignment="1">
      <alignment/>
    </xf>
    <xf numFmtId="169" fontId="8" fillId="0" borderId="0" xfId="47" applyNumberFormat="1" applyFont="1" applyAlignment="1">
      <alignment/>
    </xf>
    <xf numFmtId="10" fontId="8" fillId="0" borderId="0" xfId="90" applyNumberFormat="1" applyFont="1" applyAlignment="1">
      <alignment/>
    </xf>
    <xf numFmtId="10" fontId="8" fillId="0" borderId="0" xfId="0" applyNumberFormat="1" applyFont="1" applyAlignment="1">
      <alignment/>
    </xf>
    <xf numFmtId="0" fontId="20" fillId="0" borderId="0" xfId="0" applyFont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10" fontId="8" fillId="0" borderId="0" xfId="91" applyNumberFormat="1" applyFont="1" applyAlignment="1">
      <alignment/>
    </xf>
    <xf numFmtId="174" fontId="8" fillId="0" borderId="0" xfId="91" applyNumberFormat="1" applyFont="1" applyAlignment="1">
      <alignment/>
    </xf>
    <xf numFmtId="10" fontId="8" fillId="0" borderId="11" xfId="91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0" fontId="8" fillId="0" borderId="0" xfId="0" applyFont="1" applyAlignment="1" quotePrefix="1">
      <alignment/>
    </xf>
    <xf numFmtId="170" fontId="8" fillId="0" borderId="0" xfId="57" applyNumberFormat="1" applyFont="1" applyAlignment="1">
      <alignment/>
    </xf>
    <xf numFmtId="178" fontId="8" fillId="0" borderId="0" xfId="91" applyNumberFormat="1" applyFont="1" applyAlignment="1">
      <alignment/>
    </xf>
    <xf numFmtId="170" fontId="8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43" fontId="8" fillId="0" borderId="0" xfId="51" applyFont="1" applyAlignment="1">
      <alignment/>
    </xf>
    <xf numFmtId="44" fontId="8" fillId="0" borderId="0" xfId="57" applyFont="1" applyAlignment="1">
      <alignment/>
    </xf>
    <xf numFmtId="173" fontId="8" fillId="0" borderId="0" xfId="51" applyNumberFormat="1" applyFont="1" applyAlignment="1">
      <alignment/>
    </xf>
    <xf numFmtId="177" fontId="8" fillId="0" borderId="0" xfId="51" applyNumberFormat="1" applyFont="1" applyAlignment="1">
      <alignment/>
    </xf>
    <xf numFmtId="170" fontId="8" fillId="0" borderId="0" xfId="57" applyNumberFormat="1" applyFont="1" applyAlignment="1">
      <alignment/>
    </xf>
    <xf numFmtId="173" fontId="8" fillId="0" borderId="0" xfId="51" applyNumberFormat="1" applyFont="1" applyAlignment="1">
      <alignment/>
    </xf>
    <xf numFmtId="169" fontId="8" fillId="0" borderId="0" xfId="51" applyNumberFormat="1" applyFont="1" applyAlignment="1">
      <alignment/>
    </xf>
    <xf numFmtId="170" fontId="8" fillId="0" borderId="11" xfId="57" applyNumberFormat="1" applyFont="1" applyBorder="1" applyAlignment="1">
      <alignment/>
    </xf>
    <xf numFmtId="0" fontId="20" fillId="0" borderId="11" xfId="0" applyFont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[0] 2 2" xfId="49"/>
    <cellStyle name="Comma [0] 2 3" xfId="50"/>
    <cellStyle name="Comma 2" xfId="51"/>
    <cellStyle name="Comma 2 2" xfId="52"/>
    <cellStyle name="Comma 2 3" xfId="53"/>
    <cellStyle name="Comma0" xfId="54"/>
    <cellStyle name="Currency" xfId="55"/>
    <cellStyle name="Currency [0]" xfId="56"/>
    <cellStyle name="Currency 2" xfId="57"/>
    <cellStyle name="Currency 2 2" xfId="58"/>
    <cellStyle name="Currency 2 3" xfId="59"/>
    <cellStyle name="Currency0" xfId="60"/>
    <cellStyle name="Date" xfId="61"/>
    <cellStyle name="Euro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eItemPrompt" xfId="78"/>
    <cellStyle name="LineItemValue" xfId="79"/>
    <cellStyle name="Linked Cell" xfId="80"/>
    <cellStyle name="Neutral" xfId="81"/>
    <cellStyle name="Normal 2" xfId="82"/>
    <cellStyle name="Note" xfId="83"/>
    <cellStyle name="Output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/>
    <cellStyle name="Percent 2" xfId="91"/>
    <cellStyle name="Percent 2 2" xfId="92"/>
    <cellStyle name="Percent 2 3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TYL5 - Style5" xfId="108"/>
    <cellStyle name="STYL6 - Style6" xfId="109"/>
    <cellStyle name="STYLE1 - Style1" xfId="110"/>
    <cellStyle name="STYLE2 - Style2" xfId="111"/>
    <cellStyle name="STYLE3 - Style3" xfId="112"/>
    <cellStyle name="STYLE4 - Style4" xfId="113"/>
    <cellStyle name="Title" xfId="114"/>
    <cellStyle name="Total" xfId="115"/>
    <cellStyle name="UploadThisRowValue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="60" workbookViewId="0" topLeftCell="D15">
      <selection activeCell="F72" sqref="F72"/>
    </sheetView>
  </sheetViews>
  <sheetFormatPr defaultColWidth="9.140625" defaultRowHeight="12.75"/>
  <cols>
    <col min="1" max="1" width="8.57421875" style="2" customWidth="1"/>
    <col min="2" max="9" width="16.00390625" style="2" customWidth="1"/>
    <col min="10" max="16384" width="9.140625" style="2" customWidth="1"/>
  </cols>
  <sheetData>
    <row r="1" spans="1:9" ht="18.75">
      <c r="A1" s="1" t="s">
        <v>49</v>
      </c>
      <c r="I1" s="3"/>
    </row>
    <row r="2" spans="1:9" ht="12.75">
      <c r="A2" s="2" t="s">
        <v>30</v>
      </c>
      <c r="I2" s="4"/>
    </row>
    <row r="3" ht="12.75">
      <c r="I3" s="4"/>
    </row>
    <row r="4" ht="12.75">
      <c r="I4" s="4"/>
    </row>
    <row r="6" ht="12.75">
      <c r="I6" s="5" t="s">
        <v>2</v>
      </c>
    </row>
    <row r="7" spans="4:9" ht="12.75">
      <c r="D7" s="5"/>
      <c r="E7" s="5"/>
      <c r="F7" s="5"/>
      <c r="G7" s="5"/>
      <c r="H7" s="5" t="s">
        <v>8</v>
      </c>
      <c r="I7" s="5" t="s">
        <v>8</v>
      </c>
    </row>
    <row r="8" spans="2:9" ht="12.75">
      <c r="B8" s="5" t="s">
        <v>29</v>
      </c>
      <c r="D8" s="5"/>
      <c r="E8" s="5" t="s">
        <v>20</v>
      </c>
      <c r="F8" s="5"/>
      <c r="G8" s="5" t="s">
        <v>1</v>
      </c>
      <c r="H8" s="5" t="s">
        <v>10</v>
      </c>
      <c r="I8" s="5" t="s">
        <v>10</v>
      </c>
    </row>
    <row r="9" spans="2:9" ht="12.75">
      <c r="B9" s="5" t="s">
        <v>17</v>
      </c>
      <c r="C9" s="5" t="s">
        <v>13</v>
      </c>
      <c r="D9" s="5" t="s">
        <v>2</v>
      </c>
      <c r="E9" s="5" t="s">
        <v>22</v>
      </c>
      <c r="F9" s="6" t="s">
        <v>24</v>
      </c>
      <c r="G9" s="5" t="s">
        <v>22</v>
      </c>
      <c r="H9" s="5" t="s">
        <v>13</v>
      </c>
      <c r="I9" s="5" t="s">
        <v>13</v>
      </c>
    </row>
    <row r="10" spans="2:9" ht="12.75">
      <c r="B10" s="5" t="s">
        <v>18</v>
      </c>
      <c r="C10" s="5" t="s">
        <v>9</v>
      </c>
      <c r="D10" s="5" t="s">
        <v>9</v>
      </c>
      <c r="E10" s="7">
        <v>0.03</v>
      </c>
      <c r="F10" s="5" t="s">
        <v>9</v>
      </c>
      <c r="G10" s="7">
        <v>0.07</v>
      </c>
      <c r="H10" s="5" t="s">
        <v>9</v>
      </c>
      <c r="I10" s="5" t="s">
        <v>11</v>
      </c>
    </row>
    <row r="11" spans="1:9" ht="12.75">
      <c r="A11" s="5" t="s">
        <v>4</v>
      </c>
      <c r="B11" s="5" t="s">
        <v>19</v>
      </c>
      <c r="C11" s="5" t="s">
        <v>0</v>
      </c>
      <c r="D11" s="5" t="s">
        <v>0</v>
      </c>
      <c r="E11" s="5" t="s">
        <v>23</v>
      </c>
      <c r="F11" s="5" t="s">
        <v>21</v>
      </c>
      <c r="G11" s="5" t="s">
        <v>25</v>
      </c>
      <c r="H11" s="5" t="s">
        <v>21</v>
      </c>
      <c r="I11" s="5" t="s">
        <v>21</v>
      </c>
    </row>
    <row r="12" spans="1:9" ht="12.75">
      <c r="A12" s="8" t="s">
        <v>3</v>
      </c>
      <c r="B12" s="8" t="s">
        <v>5</v>
      </c>
      <c r="C12" s="8" t="s">
        <v>6</v>
      </c>
      <c r="D12" s="8" t="s">
        <v>7</v>
      </c>
      <c r="E12" s="8" t="s">
        <v>12</v>
      </c>
      <c r="F12" s="8" t="s">
        <v>14</v>
      </c>
      <c r="G12" s="8" t="s">
        <v>15</v>
      </c>
      <c r="H12" s="8" t="s">
        <v>27</v>
      </c>
      <c r="I12" s="8" t="s">
        <v>28</v>
      </c>
    </row>
    <row r="13" spans="1:8" ht="12.75">
      <c r="A13" s="9"/>
      <c r="B13" s="9"/>
      <c r="C13" s="9"/>
      <c r="D13" s="9"/>
      <c r="E13" s="9"/>
      <c r="F13" s="5" t="s">
        <v>16</v>
      </c>
      <c r="G13" s="9"/>
      <c r="H13" s="9" t="s">
        <v>26</v>
      </c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8" ht="12.75">
      <c r="A15" s="9">
        <v>0</v>
      </c>
      <c r="B15" s="10">
        <v>100</v>
      </c>
      <c r="C15" s="9"/>
      <c r="D15" s="9"/>
      <c r="E15" s="9"/>
      <c r="F15" s="9"/>
      <c r="G15" s="9"/>
      <c r="H15" s="9"/>
    </row>
    <row r="16" spans="1:9" ht="12.75">
      <c r="A16" s="5">
        <v>1</v>
      </c>
      <c r="B16" s="11">
        <v>99.671</v>
      </c>
      <c r="C16" s="12">
        <f>B15-B16</f>
        <v>0.3289999999999935</v>
      </c>
      <c r="D16" s="12">
        <f>D15+C16</f>
        <v>0.3289999999999935</v>
      </c>
      <c r="E16" s="12">
        <f>(1+$E$10)^A16</f>
        <v>1.03</v>
      </c>
      <c r="F16" s="12">
        <f>C16*E16</f>
        <v>0.33886999999999334</v>
      </c>
      <c r="G16" s="12">
        <f>1/(1+$G$10)^A16</f>
        <v>0.9345794392523364</v>
      </c>
      <c r="H16" s="11">
        <f>G16*F16</f>
        <v>0.31670093457943305</v>
      </c>
      <c r="I16" s="12">
        <f>I15+H16</f>
        <v>0.31670093457943305</v>
      </c>
    </row>
    <row r="17" spans="1:9" ht="12.75">
      <c r="A17" s="5">
        <v>2</v>
      </c>
      <c r="B17" s="11">
        <v>99.3034</v>
      </c>
      <c r="C17" s="12">
        <f aca="true" t="shared" si="0" ref="C17:C45">B16-B17</f>
        <v>0.36760000000001014</v>
      </c>
      <c r="D17" s="12">
        <f aca="true" t="shared" si="1" ref="D17:D45">D16+C17</f>
        <v>0.6966000000000037</v>
      </c>
      <c r="E17" s="12">
        <f aca="true" t="shared" si="2" ref="E17:E45">(1+$E$10)^A17</f>
        <v>1.0609</v>
      </c>
      <c r="F17" s="12">
        <f aca="true" t="shared" si="3" ref="F17:F45">C17*E17</f>
        <v>0.3899868400000107</v>
      </c>
      <c r="G17" s="12">
        <f aca="true" t="shared" si="4" ref="G17:G45">1/(1+$G$10)^A17</f>
        <v>0.8734387282732116</v>
      </c>
      <c r="H17" s="11">
        <f aca="true" t="shared" si="5" ref="H17:H45">G17*F17</f>
        <v>0.3406296095728978</v>
      </c>
      <c r="I17" s="12">
        <f aca="true" t="shared" si="6" ref="I17:I45">I16+H17</f>
        <v>0.6573305441523308</v>
      </c>
    </row>
    <row r="18" spans="1:9" ht="12.75">
      <c r="A18" s="5">
        <v>3</v>
      </c>
      <c r="B18" s="11">
        <v>98.8936</v>
      </c>
      <c r="C18" s="12">
        <f t="shared" si="0"/>
        <v>0.40979999999998995</v>
      </c>
      <c r="D18" s="12">
        <f t="shared" si="1"/>
        <v>1.1063999999999936</v>
      </c>
      <c r="E18" s="12">
        <f t="shared" si="2"/>
        <v>1.092727</v>
      </c>
      <c r="F18" s="12">
        <f t="shared" si="3"/>
        <v>0.447799524599989</v>
      </c>
      <c r="G18" s="12">
        <f t="shared" si="4"/>
        <v>0.8162978768908519</v>
      </c>
      <c r="H18" s="11">
        <f t="shared" si="5"/>
        <v>0.3655378012037038</v>
      </c>
      <c r="I18" s="12">
        <f t="shared" si="6"/>
        <v>1.0228683453560348</v>
      </c>
    </row>
    <row r="19" spans="1:9" ht="12.75">
      <c r="A19" s="5">
        <v>4</v>
      </c>
      <c r="B19" s="11">
        <v>98.438</v>
      </c>
      <c r="C19" s="12">
        <f t="shared" si="0"/>
        <v>0.455600000000004</v>
      </c>
      <c r="D19" s="12">
        <f t="shared" si="1"/>
        <v>1.5619999999999976</v>
      </c>
      <c r="E19" s="12">
        <f t="shared" si="2"/>
        <v>1.12550881</v>
      </c>
      <c r="F19" s="12">
        <f t="shared" si="3"/>
        <v>0.5127818138360045</v>
      </c>
      <c r="G19" s="12">
        <f t="shared" si="4"/>
        <v>0.7628952120475252</v>
      </c>
      <c r="H19" s="11">
        <f t="shared" si="5"/>
        <v>0.39119879060053325</v>
      </c>
      <c r="I19" s="12">
        <f t="shared" si="6"/>
        <v>1.414067135956568</v>
      </c>
    </row>
    <row r="20" spans="1:9" ht="12.75">
      <c r="A20" s="5">
        <v>5</v>
      </c>
      <c r="B20" s="11">
        <v>97.9327</v>
      </c>
      <c r="C20" s="12">
        <f t="shared" si="0"/>
        <v>0.5053000000000054</v>
      </c>
      <c r="D20" s="12">
        <f t="shared" si="1"/>
        <v>2.067300000000003</v>
      </c>
      <c r="E20" s="12">
        <f t="shared" si="2"/>
        <v>1.1592740742999998</v>
      </c>
      <c r="F20" s="12">
        <f t="shared" si="3"/>
        <v>0.5857811897437962</v>
      </c>
      <c r="G20" s="12">
        <f t="shared" si="4"/>
        <v>0.7129861794836684</v>
      </c>
      <c r="H20" s="11">
        <f t="shared" si="5"/>
        <v>0.4176538924888271</v>
      </c>
      <c r="I20" s="12">
        <f t="shared" si="6"/>
        <v>1.831721028445395</v>
      </c>
    </row>
    <row r="21" spans="1:9" ht="12.75">
      <c r="A21" s="5">
        <v>6</v>
      </c>
      <c r="B21" s="11">
        <v>97.3737</v>
      </c>
      <c r="C21" s="12">
        <f t="shared" si="0"/>
        <v>0.5589999999999975</v>
      </c>
      <c r="D21" s="12">
        <f t="shared" si="1"/>
        <v>2.6263000000000005</v>
      </c>
      <c r="E21" s="12">
        <f t="shared" si="2"/>
        <v>1.194052296529</v>
      </c>
      <c r="F21" s="12">
        <f t="shared" si="3"/>
        <v>0.667475233759708</v>
      </c>
      <c r="G21" s="12">
        <f t="shared" si="4"/>
        <v>0.6663422238165125</v>
      </c>
      <c r="H21" s="11">
        <f t="shared" si="5"/>
        <v>0.44476693160589037</v>
      </c>
      <c r="I21" s="12">
        <f t="shared" si="6"/>
        <v>2.2764879600512855</v>
      </c>
    </row>
    <row r="22" spans="1:9" ht="12.75">
      <c r="A22" s="5">
        <v>7</v>
      </c>
      <c r="B22" s="11">
        <v>96.7565</v>
      </c>
      <c r="C22" s="12">
        <f t="shared" si="0"/>
        <v>0.6171999999999969</v>
      </c>
      <c r="D22" s="12">
        <f t="shared" si="1"/>
        <v>3.2434999999999974</v>
      </c>
      <c r="E22" s="12">
        <f t="shared" si="2"/>
        <v>1.22987386542487</v>
      </c>
      <c r="F22" s="12">
        <f t="shared" si="3"/>
        <v>0.7590781497402259</v>
      </c>
      <c r="G22" s="12">
        <f t="shared" si="4"/>
        <v>0.6227497418845911</v>
      </c>
      <c r="H22" s="11">
        <f t="shared" si="5"/>
        <v>0.47271572182095867</v>
      </c>
      <c r="I22" s="12">
        <f t="shared" si="6"/>
        <v>2.749203681872244</v>
      </c>
    </row>
    <row r="23" spans="1:9" ht="12.75">
      <c r="A23" s="5">
        <v>8</v>
      </c>
      <c r="B23" s="11">
        <v>96.0767</v>
      </c>
      <c r="C23" s="12">
        <f t="shared" si="0"/>
        <v>0.6798000000000002</v>
      </c>
      <c r="D23" s="12">
        <f t="shared" si="1"/>
        <v>3.9232999999999976</v>
      </c>
      <c r="E23" s="12">
        <f t="shared" si="2"/>
        <v>1.266770081387616</v>
      </c>
      <c r="F23" s="12">
        <f t="shared" si="3"/>
        <v>0.8611503013273015</v>
      </c>
      <c r="G23" s="12">
        <f t="shared" si="4"/>
        <v>0.5820091045650384</v>
      </c>
      <c r="H23" s="11">
        <f t="shared" si="5"/>
        <v>0.5011973157714158</v>
      </c>
      <c r="I23" s="12">
        <f t="shared" si="6"/>
        <v>3.25040099764366</v>
      </c>
    </row>
    <row r="24" spans="1:9" ht="12.75">
      <c r="A24" s="5">
        <v>9</v>
      </c>
      <c r="B24" s="11">
        <v>95.3294</v>
      </c>
      <c r="C24" s="12">
        <f t="shared" si="0"/>
        <v>0.7472999999999956</v>
      </c>
      <c r="D24" s="12">
        <f t="shared" si="1"/>
        <v>4.670599999999993</v>
      </c>
      <c r="E24" s="12">
        <f t="shared" si="2"/>
        <v>1.3047731838292445</v>
      </c>
      <c r="F24" s="12">
        <f t="shared" si="3"/>
        <v>0.9750570002755887</v>
      </c>
      <c r="G24" s="12">
        <f t="shared" si="4"/>
        <v>0.5439337425841481</v>
      </c>
      <c r="H24" s="11">
        <f t="shared" si="5"/>
        <v>0.5303664033927736</v>
      </c>
      <c r="I24" s="12">
        <f t="shared" si="6"/>
        <v>3.780767401036434</v>
      </c>
    </row>
    <row r="25" spans="1:9" ht="12.75">
      <c r="A25" s="5">
        <v>10</v>
      </c>
      <c r="B25" s="11">
        <v>94.5095</v>
      </c>
      <c r="C25" s="12">
        <f t="shared" si="0"/>
        <v>0.8199000000000041</v>
      </c>
      <c r="D25" s="12">
        <f t="shared" si="1"/>
        <v>5.490499999999997</v>
      </c>
      <c r="E25" s="12">
        <f t="shared" si="2"/>
        <v>1.3439163793441218</v>
      </c>
      <c r="F25" s="12">
        <f t="shared" si="3"/>
        <v>1.101877039424251</v>
      </c>
      <c r="G25" s="12">
        <f t="shared" si="4"/>
        <v>0.5083492921347178</v>
      </c>
      <c r="H25" s="11">
        <f t="shared" si="5"/>
        <v>0.5601384130108166</v>
      </c>
      <c r="I25" s="12">
        <f t="shared" si="6"/>
        <v>4.34090581404725</v>
      </c>
    </row>
    <row r="26" spans="1:9" ht="12.75">
      <c r="A26" s="5">
        <v>11</v>
      </c>
      <c r="B26" s="11">
        <v>93.6118</v>
      </c>
      <c r="C26" s="12">
        <f t="shared" si="0"/>
        <v>0.8977000000000004</v>
      </c>
      <c r="D26" s="12">
        <f t="shared" si="1"/>
        <v>6.388199999999998</v>
      </c>
      <c r="E26" s="12">
        <f t="shared" si="2"/>
        <v>1.3842338707244455</v>
      </c>
      <c r="F26" s="12">
        <f t="shared" si="3"/>
        <v>1.2426267457493352</v>
      </c>
      <c r="G26" s="12">
        <f t="shared" si="4"/>
        <v>0.47509279638758667</v>
      </c>
      <c r="H26" s="11">
        <f t="shared" si="5"/>
        <v>0.5903630155040583</v>
      </c>
      <c r="I26" s="12">
        <f t="shared" si="6"/>
        <v>4.931268829551309</v>
      </c>
    </row>
    <row r="27" spans="1:9" ht="12.75">
      <c r="A27" s="5">
        <v>12</v>
      </c>
      <c r="B27" s="11">
        <v>92.6306</v>
      </c>
      <c r="C27" s="12">
        <f t="shared" si="0"/>
        <v>0.9812000000000012</v>
      </c>
      <c r="D27" s="12">
        <f t="shared" si="1"/>
        <v>7.369399999999999</v>
      </c>
      <c r="E27" s="12">
        <f t="shared" si="2"/>
        <v>1.4257608868461786</v>
      </c>
      <c r="F27" s="12">
        <f t="shared" si="3"/>
        <v>1.3989565821734722</v>
      </c>
      <c r="G27" s="12">
        <f t="shared" si="4"/>
        <v>0.4440119592407353</v>
      </c>
      <c r="H27" s="11">
        <f t="shared" si="5"/>
        <v>0.621153452943566</v>
      </c>
      <c r="I27" s="12">
        <f t="shared" si="6"/>
        <v>5.552422282494875</v>
      </c>
    </row>
    <row r="28" spans="1:9" ht="12.75">
      <c r="A28" s="5">
        <v>13</v>
      </c>
      <c r="B28" s="11">
        <v>91.5602</v>
      </c>
      <c r="C28" s="12">
        <f t="shared" si="0"/>
        <v>1.0704000000000065</v>
      </c>
      <c r="D28" s="12">
        <f t="shared" si="1"/>
        <v>8.439800000000005</v>
      </c>
      <c r="E28" s="12">
        <f t="shared" si="2"/>
        <v>1.468533713451564</v>
      </c>
      <c r="F28" s="12">
        <f t="shared" si="3"/>
        <v>1.5719184868785634</v>
      </c>
      <c r="G28" s="12">
        <f t="shared" si="4"/>
        <v>0.4149644478885376</v>
      </c>
      <c r="H28" s="11">
        <f t="shared" si="5"/>
        <v>0.6522902870333485</v>
      </c>
      <c r="I28" s="12">
        <f t="shared" si="6"/>
        <v>6.204712569528223</v>
      </c>
    </row>
    <row r="29" spans="1:9" ht="12.75">
      <c r="A29" s="5">
        <v>14</v>
      </c>
      <c r="B29" s="11">
        <v>90.3943</v>
      </c>
      <c r="C29" s="12">
        <f t="shared" si="0"/>
        <v>1.1658999999999935</v>
      </c>
      <c r="D29" s="12">
        <f t="shared" si="1"/>
        <v>9.605699999999999</v>
      </c>
      <c r="E29" s="12">
        <f t="shared" si="2"/>
        <v>1.512589724855111</v>
      </c>
      <c r="F29" s="12">
        <f t="shared" si="3"/>
        <v>1.763528360208564</v>
      </c>
      <c r="G29" s="12">
        <f t="shared" si="4"/>
        <v>0.3878172410173249</v>
      </c>
      <c r="H29" s="11">
        <f t="shared" si="5"/>
        <v>0.6839267031118924</v>
      </c>
      <c r="I29" s="12">
        <f t="shared" si="6"/>
        <v>6.888639272640115</v>
      </c>
    </row>
    <row r="30" spans="1:9" ht="12.75">
      <c r="A30" s="5">
        <v>15</v>
      </c>
      <c r="B30" s="11">
        <v>89.1267</v>
      </c>
      <c r="C30" s="12">
        <f t="shared" si="0"/>
        <v>1.2676000000000016</v>
      </c>
      <c r="D30" s="12">
        <f t="shared" si="1"/>
        <v>10.8733</v>
      </c>
      <c r="E30" s="12">
        <f t="shared" si="2"/>
        <v>1.5579674166007644</v>
      </c>
      <c r="F30" s="12">
        <f t="shared" si="3"/>
        <v>1.9748794972831316</v>
      </c>
      <c r="G30" s="12">
        <f t="shared" si="4"/>
        <v>0.3624460196423597</v>
      </c>
      <c r="H30" s="11">
        <f t="shared" si="5"/>
        <v>0.7157872130635753</v>
      </c>
      <c r="I30" s="12">
        <f t="shared" si="6"/>
        <v>7.604426485703691</v>
      </c>
    </row>
    <row r="31" spans="1:9" ht="12.75">
      <c r="A31" s="5">
        <v>16</v>
      </c>
      <c r="B31" s="11">
        <v>87.7508</v>
      </c>
      <c r="C31" s="12">
        <f t="shared" si="0"/>
        <v>1.3759000000000015</v>
      </c>
      <c r="D31" s="12">
        <f t="shared" si="1"/>
        <v>12.249200000000002</v>
      </c>
      <c r="E31" s="12">
        <f t="shared" si="2"/>
        <v>1.604706439098787</v>
      </c>
      <c r="F31" s="12">
        <f t="shared" si="3"/>
        <v>2.2079155895560234</v>
      </c>
      <c r="G31" s="12">
        <f t="shared" si="4"/>
        <v>0.33873459779659787</v>
      </c>
      <c r="H31" s="11">
        <f t="shared" si="5"/>
        <v>0.7478973991970979</v>
      </c>
      <c r="I31" s="12">
        <f t="shared" si="6"/>
        <v>8.35232388490079</v>
      </c>
    </row>
    <row r="32" spans="1:9" ht="12.75">
      <c r="A32" s="5">
        <v>17</v>
      </c>
      <c r="B32" s="11">
        <v>86.2598</v>
      </c>
      <c r="C32" s="12">
        <f t="shared" si="0"/>
        <v>1.4909999999999997</v>
      </c>
      <c r="D32" s="12">
        <f t="shared" si="1"/>
        <v>13.740200000000002</v>
      </c>
      <c r="E32" s="12">
        <f t="shared" si="2"/>
        <v>1.6528476322717507</v>
      </c>
      <c r="F32" s="12">
        <f t="shared" si="3"/>
        <v>2.4643958197171796</v>
      </c>
      <c r="G32" s="12">
        <f t="shared" si="4"/>
        <v>0.3165743904641102</v>
      </c>
      <c r="H32" s="11">
        <f t="shared" si="5"/>
        <v>0.7801646044892673</v>
      </c>
      <c r="I32" s="12">
        <f t="shared" si="6"/>
        <v>9.132488489390056</v>
      </c>
    </row>
    <row r="33" spans="1:9" ht="12.75">
      <c r="A33" s="5">
        <v>18</v>
      </c>
      <c r="B33" s="11">
        <v>84.6471</v>
      </c>
      <c r="C33" s="12">
        <f t="shared" si="0"/>
        <v>1.6127000000000038</v>
      </c>
      <c r="D33" s="12">
        <f t="shared" si="1"/>
        <v>15.352900000000005</v>
      </c>
      <c r="E33" s="12">
        <f t="shared" si="2"/>
        <v>1.7024330612399032</v>
      </c>
      <c r="F33" s="12">
        <f t="shared" si="3"/>
        <v>2.7455137978615984</v>
      </c>
      <c r="G33" s="12">
        <f t="shared" si="4"/>
        <v>0.29586391632159825</v>
      </c>
      <c r="H33" s="11">
        <f t="shared" si="5"/>
        <v>0.8122984645503174</v>
      </c>
      <c r="I33" s="12">
        <f t="shared" si="6"/>
        <v>9.944786953940373</v>
      </c>
    </row>
    <row r="34" spans="1:9" ht="12.75">
      <c r="A34" s="5">
        <v>19</v>
      </c>
      <c r="B34" s="11">
        <v>82.9057</v>
      </c>
      <c r="C34" s="12">
        <f t="shared" si="0"/>
        <v>1.7413999999999987</v>
      </c>
      <c r="D34" s="12">
        <f t="shared" si="1"/>
        <v>17.094300000000004</v>
      </c>
      <c r="E34" s="12">
        <f t="shared" si="2"/>
        <v>1.7535060530771003</v>
      </c>
      <c r="F34" s="12">
        <f t="shared" si="3"/>
        <v>3.05355544082846</v>
      </c>
      <c r="G34" s="12">
        <f t="shared" si="4"/>
        <v>0.2765083330108395</v>
      </c>
      <c r="H34" s="11">
        <f t="shared" si="5"/>
        <v>0.8443335246996566</v>
      </c>
      <c r="I34" s="12">
        <f t="shared" si="6"/>
        <v>10.78912047864003</v>
      </c>
    </row>
    <row r="35" spans="1:9" ht="12.75">
      <c r="A35" s="5">
        <v>20</v>
      </c>
      <c r="B35" s="11">
        <v>81.0292</v>
      </c>
      <c r="C35" s="12">
        <f t="shared" si="0"/>
        <v>1.876499999999993</v>
      </c>
      <c r="D35" s="12">
        <f t="shared" si="1"/>
        <v>18.970799999999997</v>
      </c>
      <c r="E35" s="12">
        <f t="shared" si="2"/>
        <v>1.8061112346694133</v>
      </c>
      <c r="F35" s="12">
        <f t="shared" si="3"/>
        <v>3.389167731857141</v>
      </c>
      <c r="G35" s="12">
        <f t="shared" si="4"/>
        <v>0.2584190028138687</v>
      </c>
      <c r="H35" s="11">
        <f t="shared" si="5"/>
        <v>0.8758253456354635</v>
      </c>
      <c r="I35" s="12">
        <f t="shared" si="6"/>
        <v>11.664945824275494</v>
      </c>
    </row>
    <row r="36" spans="1:9" ht="12.75">
      <c r="A36" s="5">
        <v>21</v>
      </c>
      <c r="B36" s="11">
        <v>79.0113</v>
      </c>
      <c r="C36" s="12">
        <f t="shared" si="0"/>
        <v>2.0178999999999974</v>
      </c>
      <c r="D36" s="12">
        <f t="shared" si="1"/>
        <v>20.988699999999994</v>
      </c>
      <c r="E36" s="12">
        <f t="shared" si="2"/>
        <v>1.8602945717094954</v>
      </c>
      <c r="F36" s="12">
        <f t="shared" si="3"/>
        <v>3.753888416252586</v>
      </c>
      <c r="G36" s="12">
        <f t="shared" si="4"/>
        <v>0.24151308674193336</v>
      </c>
      <c r="H36" s="11">
        <f t="shared" si="5"/>
        <v>0.9066131786939496</v>
      </c>
      <c r="I36" s="12">
        <f t="shared" si="6"/>
        <v>12.571559002969444</v>
      </c>
    </row>
    <row r="37" spans="1:9" ht="12.75">
      <c r="A37" s="5">
        <v>22</v>
      </c>
      <c r="B37" s="11">
        <v>76.8463</v>
      </c>
      <c r="C37" s="12">
        <f t="shared" si="0"/>
        <v>2.1650000000000063</v>
      </c>
      <c r="D37" s="12">
        <f t="shared" si="1"/>
        <v>23.1537</v>
      </c>
      <c r="E37" s="12">
        <f t="shared" si="2"/>
        <v>1.9161034088607805</v>
      </c>
      <c r="F37" s="12">
        <f t="shared" si="3"/>
        <v>4.148363880183601</v>
      </c>
      <c r="G37" s="12">
        <f t="shared" si="4"/>
        <v>0.22571316517937698</v>
      </c>
      <c r="H37" s="11">
        <f t="shared" si="5"/>
        <v>0.9363403417120424</v>
      </c>
      <c r="I37" s="12">
        <f t="shared" si="6"/>
        <v>13.507899344681487</v>
      </c>
    </row>
    <row r="38" spans="1:9" ht="12.75">
      <c r="A38" s="5">
        <v>23</v>
      </c>
      <c r="B38" s="11">
        <v>74.5295</v>
      </c>
      <c r="C38" s="12">
        <f t="shared" si="0"/>
        <v>2.3168000000000006</v>
      </c>
      <c r="D38" s="12">
        <f t="shared" si="1"/>
        <v>25.4705</v>
      </c>
      <c r="E38" s="12">
        <f t="shared" si="2"/>
        <v>1.973586511126604</v>
      </c>
      <c r="F38" s="12">
        <f t="shared" si="3"/>
        <v>4.572405228978117</v>
      </c>
      <c r="G38" s="12">
        <f t="shared" si="4"/>
        <v>0.2109468833452121</v>
      </c>
      <c r="H38" s="11">
        <f t="shared" si="5"/>
        <v>0.9645346324442847</v>
      </c>
      <c r="I38" s="12">
        <f t="shared" si="6"/>
        <v>14.472433977125771</v>
      </c>
    </row>
    <row r="39" spans="1:9" ht="12.75">
      <c r="A39" s="5">
        <v>24</v>
      </c>
      <c r="B39" s="11">
        <v>72.0573</v>
      </c>
      <c r="C39" s="12">
        <f t="shared" si="0"/>
        <v>2.472200000000001</v>
      </c>
      <c r="D39" s="12">
        <f t="shared" si="1"/>
        <v>27.942700000000002</v>
      </c>
      <c r="E39" s="12">
        <f t="shared" si="2"/>
        <v>2.032794106460402</v>
      </c>
      <c r="F39" s="12">
        <f t="shared" si="3"/>
        <v>5.025473589991407</v>
      </c>
      <c r="G39" s="12">
        <f t="shared" si="4"/>
        <v>0.19714661994879637</v>
      </c>
      <c r="H39" s="11">
        <f t="shared" si="5"/>
        <v>0.9907551319087492</v>
      </c>
      <c r="I39" s="12">
        <f t="shared" si="6"/>
        <v>15.46318910903452</v>
      </c>
    </row>
    <row r="40" spans="1:9" ht="12.75">
      <c r="A40" s="5">
        <v>25</v>
      </c>
      <c r="B40" s="11">
        <v>69.4278</v>
      </c>
      <c r="C40" s="12">
        <f t="shared" si="0"/>
        <v>2.629499999999993</v>
      </c>
      <c r="D40" s="12">
        <f t="shared" si="1"/>
        <v>30.572199999999995</v>
      </c>
      <c r="E40" s="12">
        <f t="shared" si="2"/>
        <v>2.093777929654214</v>
      </c>
      <c r="F40" s="12">
        <f t="shared" si="3"/>
        <v>5.505589066025741</v>
      </c>
      <c r="G40" s="12">
        <f t="shared" si="4"/>
        <v>0.18424917752223957</v>
      </c>
      <c r="H40" s="11">
        <f t="shared" si="5"/>
        <v>1.0144002571906778</v>
      </c>
      <c r="I40" s="12">
        <f t="shared" si="6"/>
        <v>16.477589366225196</v>
      </c>
    </row>
    <row r="41" spans="1:9" ht="12.75">
      <c r="A41" s="5">
        <v>26</v>
      </c>
      <c r="B41" s="11">
        <v>66.6411</v>
      </c>
      <c r="C41" s="12">
        <f t="shared" si="0"/>
        <v>2.7867000000000104</v>
      </c>
      <c r="D41" s="12">
        <f t="shared" si="1"/>
        <v>33.358900000000006</v>
      </c>
      <c r="E41" s="12">
        <f t="shared" si="2"/>
        <v>2.1565912675438406</v>
      </c>
      <c r="F41" s="12">
        <f t="shared" si="3"/>
        <v>6.009772885264443</v>
      </c>
      <c r="G41" s="12">
        <f t="shared" si="4"/>
        <v>0.17219549301143888</v>
      </c>
      <c r="H41" s="11">
        <f t="shared" si="5"/>
        <v>1.0348558048648884</v>
      </c>
      <c r="I41" s="12">
        <f t="shared" si="6"/>
        <v>17.512445171090086</v>
      </c>
    </row>
    <row r="42" spans="1:9" ht="12.75">
      <c r="A42" s="5">
        <v>27</v>
      </c>
      <c r="B42" s="11">
        <v>63.7</v>
      </c>
      <c r="C42" s="12">
        <f t="shared" si="0"/>
        <v>2.9410999999999916</v>
      </c>
      <c r="D42" s="12">
        <f t="shared" si="1"/>
        <v>36.3</v>
      </c>
      <c r="E42" s="12">
        <f t="shared" si="2"/>
        <v>2.2212890055701555</v>
      </c>
      <c r="F42" s="12">
        <f t="shared" si="3"/>
        <v>6.533033094282366</v>
      </c>
      <c r="G42" s="12">
        <f t="shared" si="4"/>
        <v>0.16093036730041013</v>
      </c>
      <c r="H42" s="11">
        <f t="shared" si="5"/>
        <v>1.051363415448596</v>
      </c>
      <c r="I42" s="12">
        <f t="shared" si="6"/>
        <v>18.56380858653868</v>
      </c>
    </row>
    <row r="43" spans="1:9" ht="12.75">
      <c r="A43" s="5">
        <v>28</v>
      </c>
      <c r="B43" s="11">
        <v>60.6101</v>
      </c>
      <c r="C43" s="12">
        <f t="shared" si="0"/>
        <v>3.0899</v>
      </c>
      <c r="D43" s="12">
        <f t="shared" si="1"/>
        <v>39.3899</v>
      </c>
      <c r="E43" s="12">
        <f t="shared" si="2"/>
        <v>2.28792767573726</v>
      </c>
      <c r="F43" s="12">
        <f t="shared" si="3"/>
        <v>7.06946772526056</v>
      </c>
      <c r="G43" s="12">
        <f t="shared" si="4"/>
        <v>0.15040221243028987</v>
      </c>
      <c r="H43" s="11">
        <f t="shared" si="5"/>
        <v>1.063263586583717</v>
      </c>
      <c r="I43" s="12">
        <f t="shared" si="6"/>
        <v>19.627072173122396</v>
      </c>
    </row>
    <row r="44" spans="1:9" ht="12.75">
      <c r="A44" s="5">
        <v>29</v>
      </c>
      <c r="B44" s="11">
        <v>57.3808</v>
      </c>
      <c r="C44" s="12">
        <f t="shared" si="0"/>
        <v>3.229300000000002</v>
      </c>
      <c r="D44" s="12">
        <f t="shared" si="1"/>
        <v>42.6192</v>
      </c>
      <c r="E44" s="12">
        <f t="shared" si="2"/>
        <v>2.3565655060093778</v>
      </c>
      <c r="F44" s="12">
        <f t="shared" si="3"/>
        <v>7.610056988556089</v>
      </c>
      <c r="G44" s="12">
        <f t="shared" si="4"/>
        <v>0.1405628153554111</v>
      </c>
      <c r="H44" s="11">
        <f t="shared" si="5"/>
        <v>1.0696910353265654</v>
      </c>
      <c r="I44" s="12">
        <f t="shared" si="6"/>
        <v>20.696763208448964</v>
      </c>
    </row>
    <row r="45" spans="1:9" ht="12.75">
      <c r="A45" s="5">
        <v>30</v>
      </c>
      <c r="B45" s="11">
        <v>54.0251</v>
      </c>
      <c r="C45" s="12">
        <f t="shared" si="0"/>
        <v>3.355699999999999</v>
      </c>
      <c r="D45" s="12">
        <f t="shared" si="1"/>
        <v>45.9749</v>
      </c>
      <c r="E45" s="12">
        <f t="shared" si="2"/>
        <v>2.427262471189659</v>
      </c>
      <c r="F45" s="12">
        <f t="shared" si="3"/>
        <v>8.145164674571136</v>
      </c>
      <c r="G45" s="12">
        <f t="shared" si="4"/>
        <v>0.13136711715458982</v>
      </c>
      <c r="H45" s="11">
        <f t="shared" si="5"/>
        <v>1.0700068020478128</v>
      </c>
      <c r="I45" s="12">
        <f t="shared" si="6"/>
        <v>21.766770010496778</v>
      </c>
    </row>
    <row r="47" spans="4:9" ht="12.75">
      <c r="D47" s="2" t="s">
        <v>30</v>
      </c>
      <c r="I47" s="13">
        <f>I45</f>
        <v>21.766770010496778</v>
      </c>
    </row>
    <row r="48" spans="1:9" ht="18.75">
      <c r="A48" s="1" t="s">
        <v>49</v>
      </c>
      <c r="I48" s="3"/>
    </row>
    <row r="49" spans="1:9" ht="12.75">
      <c r="A49" s="2" t="s">
        <v>38</v>
      </c>
      <c r="I49" s="4"/>
    </row>
    <row r="50" ht="12.75">
      <c r="I50" s="4"/>
    </row>
    <row r="51" ht="12.75">
      <c r="I51" s="4"/>
    </row>
    <row r="53" ht="12.75">
      <c r="G53" s="5" t="s">
        <v>34</v>
      </c>
    </row>
    <row r="54" spans="7:8" ht="12.75">
      <c r="G54" s="5" t="s">
        <v>36</v>
      </c>
      <c r="H54" s="5" t="s">
        <v>34</v>
      </c>
    </row>
    <row r="55" spans="7:8" ht="12.75">
      <c r="G55" s="5" t="s">
        <v>37</v>
      </c>
      <c r="H55" s="5" t="s">
        <v>35</v>
      </c>
    </row>
    <row r="56" spans="7:8" ht="12.75">
      <c r="G56" s="5" t="s">
        <v>89</v>
      </c>
      <c r="H56" s="5" t="s">
        <v>89</v>
      </c>
    </row>
    <row r="57" spans="7:8" ht="12.75">
      <c r="G57" s="5" t="s">
        <v>90</v>
      </c>
      <c r="H57" s="5" t="s">
        <v>90</v>
      </c>
    </row>
    <row r="58" spans="3:8" ht="12.75">
      <c r="C58" s="14"/>
      <c r="D58" s="14"/>
      <c r="E58" s="14"/>
      <c r="F58" s="14"/>
      <c r="G58" s="15" t="s">
        <v>91</v>
      </c>
      <c r="H58" s="15" t="s">
        <v>91</v>
      </c>
    </row>
    <row r="60" spans="1:8" ht="12.75">
      <c r="A60" s="5">
        <v>1</v>
      </c>
      <c r="B60" s="2" t="s">
        <v>30</v>
      </c>
      <c r="G60" s="16">
        <f>I45</f>
        <v>21.766770010496778</v>
      </c>
      <c r="H60" s="17">
        <f>G60</f>
        <v>21.766770010496778</v>
      </c>
    </row>
    <row r="61" ht="12.75">
      <c r="A61" s="5"/>
    </row>
    <row r="62" spans="1:8" ht="12.75">
      <c r="A62" s="5">
        <v>2</v>
      </c>
      <c r="B62" s="2" t="s">
        <v>31</v>
      </c>
      <c r="G62" s="18">
        <v>100</v>
      </c>
      <c r="H62" s="18">
        <v>0</v>
      </c>
    </row>
    <row r="63" spans="1:7" ht="12.75">
      <c r="A63" s="5"/>
      <c r="G63" s="17"/>
    </row>
    <row r="64" spans="1:8" ht="12.75">
      <c r="A64" s="5">
        <v>3</v>
      </c>
      <c r="B64" s="2" t="s">
        <v>39</v>
      </c>
      <c r="G64" s="17">
        <f>G60+G62</f>
        <v>121.76677001049677</v>
      </c>
      <c r="H64" s="17">
        <f>H60+H62</f>
        <v>21.766770010496778</v>
      </c>
    </row>
    <row r="65" ht="12.75">
      <c r="A65" s="5"/>
    </row>
    <row r="66" spans="1:8" ht="12.75">
      <c r="A66" s="5">
        <v>4</v>
      </c>
      <c r="B66" s="2" t="s">
        <v>86</v>
      </c>
      <c r="G66" s="19">
        <f>NPV!F20/12</f>
        <v>0.007952233168775425</v>
      </c>
      <c r="H66" s="19">
        <f>G66</f>
        <v>0.007952233168775425</v>
      </c>
    </row>
    <row r="67" ht="12.75">
      <c r="A67" s="5"/>
    </row>
    <row r="68" spans="1:8" ht="12.75">
      <c r="A68" s="5">
        <v>5</v>
      </c>
      <c r="B68" s="2" t="s">
        <v>87</v>
      </c>
      <c r="G68" s="20">
        <f>G66*G64/100</f>
        <v>0.009683177473321211</v>
      </c>
      <c r="H68" s="20">
        <f>H66*H64/100</f>
        <v>0.001730944304545787</v>
      </c>
    </row>
    <row r="69" ht="12.75">
      <c r="A69" s="5"/>
    </row>
    <row r="70" spans="1:8" ht="12.75">
      <c r="A70" s="5">
        <v>6</v>
      </c>
      <c r="B70" s="2" t="s">
        <v>32</v>
      </c>
      <c r="G70" s="20">
        <f>50977392/1348161064.99613/12</f>
        <v>0.003151044864221913</v>
      </c>
      <c r="H70" s="21">
        <f>G70</f>
        <v>0.003151044864221913</v>
      </c>
    </row>
    <row r="71" ht="12.75">
      <c r="A71" s="5"/>
    </row>
    <row r="72" spans="1:8" ht="12.75">
      <c r="A72" s="5">
        <v>7</v>
      </c>
      <c r="B72" s="2" t="s">
        <v>33</v>
      </c>
      <c r="G72" s="21">
        <f>G70+G68</f>
        <v>0.012834222337543125</v>
      </c>
      <c r="H72" s="21">
        <f>H70+H68</f>
        <v>0.0048819891687677</v>
      </c>
    </row>
  </sheetData>
  <sheetProtection/>
  <printOptions/>
  <pageMargins left="0.75" right="0.75" top="1" bottom="1" header="0.5" footer="0.5"/>
  <pageSetup horizontalDpi="600" verticalDpi="600" orientation="landscape" scale="75" r:id="rId1"/>
  <headerFooter differentOddEven="1" differentFirst="1" alignWithMargins="0">
    <evenFooter>&amp;R&amp;"Times New Roman,Bold"&amp;12Conroy Exhibit M1
Page 1 of 5</evenFooter>
    <firstFooter>&amp;R&amp;"Times New Roman,Bold"&amp;12Conroy Exhibit M1
Page 2 of 5</first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workbookViewId="0" topLeftCell="A1">
      <selection activeCell="F72" sqref="F72"/>
    </sheetView>
  </sheetViews>
  <sheetFormatPr defaultColWidth="9.140625" defaultRowHeight="12.75"/>
  <cols>
    <col min="1" max="1" width="18.57421875" style="2" customWidth="1"/>
    <col min="2" max="2" width="13.140625" style="2" customWidth="1"/>
    <col min="3" max="4" width="9.140625" style="2" customWidth="1"/>
    <col min="5" max="5" width="12.57421875" style="2" customWidth="1"/>
    <col min="6" max="6" width="10.28125" style="2" customWidth="1"/>
    <col min="7" max="16384" width="9.140625" style="2" customWidth="1"/>
  </cols>
  <sheetData>
    <row r="1" spans="1:7" ht="18.75">
      <c r="A1" s="1" t="s">
        <v>49</v>
      </c>
      <c r="G1" s="3"/>
    </row>
    <row r="2" spans="1:7" ht="12.75">
      <c r="A2" s="2" t="s">
        <v>88</v>
      </c>
      <c r="G2" s="4"/>
    </row>
    <row r="3" spans="1:7" ht="12.75">
      <c r="A3" s="22"/>
      <c r="G3" s="4"/>
    </row>
    <row r="4" ht="12.75">
      <c r="G4" s="4"/>
    </row>
    <row r="7" spans="1:2" ht="12.75">
      <c r="A7" s="22" t="s">
        <v>48</v>
      </c>
      <c r="B7" s="23"/>
    </row>
    <row r="8" spans="2:6" ht="12.75">
      <c r="B8" s="22"/>
      <c r="C8" s="22"/>
      <c r="D8" s="24" t="s">
        <v>47</v>
      </c>
      <c r="F8" s="24" t="s">
        <v>46</v>
      </c>
    </row>
    <row r="9" spans="2:6" ht="12.75">
      <c r="B9" s="25" t="s">
        <v>45</v>
      </c>
      <c r="C9" s="25" t="s">
        <v>42</v>
      </c>
      <c r="D9" s="25" t="s">
        <v>44</v>
      </c>
      <c r="E9" s="25" t="s">
        <v>43</v>
      </c>
      <c r="F9" s="26" t="s">
        <v>42</v>
      </c>
    </row>
    <row r="10" spans="1:6" ht="12.75">
      <c r="A10" s="2" t="s">
        <v>92</v>
      </c>
      <c r="B10" s="27">
        <v>0</v>
      </c>
      <c r="C10" s="27">
        <v>0.0041</v>
      </c>
      <c r="D10" s="27">
        <f>B10*C10</f>
        <v>0</v>
      </c>
      <c r="E10" s="21"/>
      <c r="F10" s="27">
        <f>D10*(1-E10)</f>
        <v>0</v>
      </c>
    </row>
    <row r="11" spans="1:6" ht="12.75">
      <c r="A11" s="2" t="s">
        <v>93</v>
      </c>
      <c r="B11" s="27">
        <v>0.46296</v>
      </c>
      <c r="C11" s="27">
        <v>0.0369</v>
      </c>
      <c r="D11" s="27">
        <f>B11*C11</f>
        <v>0.017083224</v>
      </c>
      <c r="E11" s="21">
        <v>0.36747251999999997</v>
      </c>
      <c r="F11" s="27">
        <f>D11*(1-E11)</f>
        <v>0.010805608626995521</v>
      </c>
    </row>
    <row r="12" spans="1:6" ht="12.75">
      <c r="A12" s="2" t="s">
        <v>41</v>
      </c>
      <c r="B12" s="29">
        <v>0.537</v>
      </c>
      <c r="C12" s="29">
        <v>0.11</v>
      </c>
      <c r="D12" s="29">
        <f>B12*C12</f>
        <v>0.059070000000000004</v>
      </c>
      <c r="F12" s="30">
        <f>D12</f>
        <v>0.059070000000000004</v>
      </c>
    </row>
    <row r="13" spans="4:6" ht="12.75">
      <c r="D13" s="21">
        <f>SUM(D11:D12)</f>
        <v>0.076153224</v>
      </c>
      <c r="F13" s="21">
        <f>SUM(F11:F12)</f>
        <v>0.06987560862699553</v>
      </c>
    </row>
    <row r="15" spans="2:5" ht="12.75">
      <c r="B15" s="44" t="s">
        <v>40</v>
      </c>
      <c r="C15" s="44"/>
      <c r="D15" s="44"/>
      <c r="E15" s="44"/>
    </row>
    <row r="17" spans="2:5" ht="12.75">
      <c r="B17" s="2">
        <v>5</v>
      </c>
      <c r="C17" s="2">
        <v>10</v>
      </c>
      <c r="D17" s="2">
        <v>15</v>
      </c>
      <c r="E17" s="2">
        <v>20</v>
      </c>
    </row>
    <row r="18" spans="1:6" ht="12.75">
      <c r="A18" s="2">
        <v>1</v>
      </c>
      <c r="B18" s="28">
        <v>0.2</v>
      </c>
      <c r="C18" s="28">
        <v>0.1</v>
      </c>
      <c r="D18" s="28">
        <v>0.05</v>
      </c>
      <c r="E18" s="28">
        <v>0.0375</v>
      </c>
      <c r="F18" s="27"/>
    </row>
    <row r="19" spans="1:6" ht="12.75">
      <c r="A19" s="2">
        <v>2</v>
      </c>
      <c r="B19" s="28">
        <v>0.32</v>
      </c>
      <c r="C19" s="28">
        <v>0.18</v>
      </c>
      <c r="D19" s="28">
        <v>0.095</v>
      </c>
      <c r="E19" s="28">
        <v>0.07219</v>
      </c>
      <c r="F19" s="27"/>
    </row>
    <row r="20" spans="1:6" ht="12.75">
      <c r="A20" s="2">
        <v>3</v>
      </c>
      <c r="B20" s="28">
        <v>0.192</v>
      </c>
      <c r="C20" s="28">
        <v>0.144</v>
      </c>
      <c r="D20" s="28">
        <v>0.0855</v>
      </c>
      <c r="E20" s="28">
        <v>0.06677</v>
      </c>
      <c r="F20" s="27"/>
    </row>
    <row r="21" spans="1:6" ht="12.75">
      <c r="A21" s="2">
        <v>4</v>
      </c>
      <c r="B21" s="28">
        <v>0.1152</v>
      </c>
      <c r="C21" s="28">
        <v>0.1152</v>
      </c>
      <c r="D21" s="28">
        <v>0.077</v>
      </c>
      <c r="E21" s="28">
        <v>0.06177</v>
      </c>
      <c r="F21" s="27"/>
    </row>
    <row r="22" spans="1:6" ht="12.75">
      <c r="A22" s="2">
        <v>5</v>
      </c>
      <c r="B22" s="28">
        <v>0.1152</v>
      </c>
      <c r="C22" s="28">
        <v>0.0922</v>
      </c>
      <c r="D22" s="28">
        <v>0.0693</v>
      </c>
      <c r="E22" s="28">
        <v>0.05713</v>
      </c>
      <c r="F22" s="27"/>
    </row>
    <row r="23" spans="1:6" ht="12.75">
      <c r="A23" s="2">
        <v>6</v>
      </c>
      <c r="B23" s="28">
        <v>0</v>
      </c>
      <c r="C23" s="28">
        <v>0.0737</v>
      </c>
      <c r="D23" s="28">
        <v>0.0623</v>
      </c>
      <c r="E23" s="28">
        <v>0.05285</v>
      </c>
      <c r="F23" s="27"/>
    </row>
    <row r="24" spans="1:6" ht="12.75">
      <c r="A24" s="2">
        <v>7</v>
      </c>
      <c r="B24" s="28">
        <v>0</v>
      </c>
      <c r="C24" s="28">
        <v>0.0655</v>
      </c>
      <c r="D24" s="28">
        <v>0.059</v>
      </c>
      <c r="E24" s="28">
        <v>0.04888</v>
      </c>
      <c r="F24" s="27"/>
    </row>
    <row r="25" spans="1:6" ht="12.75">
      <c r="A25" s="2">
        <v>8</v>
      </c>
      <c r="B25" s="28">
        <v>0</v>
      </c>
      <c r="C25" s="28">
        <v>0.0655</v>
      </c>
      <c r="D25" s="28">
        <v>0.059</v>
      </c>
      <c r="E25" s="28">
        <v>0.04522</v>
      </c>
      <c r="F25" s="27"/>
    </row>
    <row r="26" spans="1:6" ht="12.75">
      <c r="A26" s="2">
        <v>9</v>
      </c>
      <c r="B26" s="28">
        <v>0</v>
      </c>
      <c r="C26" s="28">
        <v>0.0656</v>
      </c>
      <c r="D26" s="28">
        <v>0.0591</v>
      </c>
      <c r="E26" s="28">
        <v>0.04462</v>
      </c>
      <c r="F26" s="27"/>
    </row>
    <row r="27" spans="1:6" ht="12.75">
      <c r="A27" s="2">
        <v>10</v>
      </c>
      <c r="B27" s="28">
        <v>0</v>
      </c>
      <c r="C27" s="28">
        <v>0.0655</v>
      </c>
      <c r="D27" s="28">
        <v>0.059</v>
      </c>
      <c r="E27" s="28">
        <v>0.04461</v>
      </c>
      <c r="F27" s="27"/>
    </row>
    <row r="28" spans="1:6" ht="12.75">
      <c r="A28" s="2">
        <v>11</v>
      </c>
      <c r="B28" s="28">
        <v>0</v>
      </c>
      <c r="C28" s="28">
        <v>0</v>
      </c>
      <c r="D28" s="28">
        <v>0.0591</v>
      </c>
      <c r="E28" s="28">
        <v>0.04462</v>
      </c>
      <c r="F28" s="27"/>
    </row>
    <row r="29" spans="1:6" ht="12.75">
      <c r="A29" s="2">
        <v>12</v>
      </c>
      <c r="B29" s="28">
        <v>0</v>
      </c>
      <c r="C29" s="28">
        <v>0</v>
      </c>
      <c r="D29" s="28">
        <v>0.059</v>
      </c>
      <c r="E29" s="28">
        <v>0.04461</v>
      </c>
      <c r="F29" s="27"/>
    </row>
    <row r="30" spans="1:6" ht="12.75">
      <c r="A30" s="2">
        <v>13</v>
      </c>
      <c r="B30" s="28">
        <v>0</v>
      </c>
      <c r="C30" s="28">
        <v>0</v>
      </c>
      <c r="D30" s="28">
        <v>0.0591</v>
      </c>
      <c r="E30" s="28">
        <v>0.04462</v>
      </c>
      <c r="F30" s="27"/>
    </row>
    <row r="31" spans="1:6" ht="12.75">
      <c r="A31" s="2">
        <v>14</v>
      </c>
      <c r="B31" s="28">
        <v>0</v>
      </c>
      <c r="C31" s="28">
        <v>0</v>
      </c>
      <c r="D31" s="28">
        <v>0.059</v>
      </c>
      <c r="E31" s="28">
        <v>0.04461</v>
      </c>
      <c r="F31" s="27"/>
    </row>
    <row r="32" spans="1:6" ht="12.75">
      <c r="A32" s="2">
        <v>15</v>
      </c>
      <c r="B32" s="28">
        <v>0</v>
      </c>
      <c r="C32" s="28">
        <v>0</v>
      </c>
      <c r="D32" s="28">
        <v>0.0591</v>
      </c>
      <c r="E32" s="28">
        <v>0.04462</v>
      </c>
      <c r="F32" s="27"/>
    </row>
    <row r="33" spans="1:6" ht="12.75">
      <c r="A33" s="2">
        <v>16</v>
      </c>
      <c r="B33" s="28">
        <v>0</v>
      </c>
      <c r="C33" s="28">
        <v>0</v>
      </c>
      <c r="D33" s="28">
        <v>0.0295</v>
      </c>
      <c r="E33" s="28">
        <v>0.04461</v>
      </c>
      <c r="F33" s="27"/>
    </row>
    <row r="34" spans="1:6" ht="12.75">
      <c r="A34" s="2">
        <v>17</v>
      </c>
      <c r="B34" s="28">
        <v>0</v>
      </c>
      <c r="C34" s="28">
        <v>0</v>
      </c>
      <c r="D34" s="28">
        <v>0</v>
      </c>
      <c r="E34" s="28">
        <v>0.04462</v>
      </c>
      <c r="F34" s="27"/>
    </row>
    <row r="35" spans="1:6" ht="12.75">
      <c r="A35" s="2">
        <v>18</v>
      </c>
      <c r="B35" s="28">
        <v>0</v>
      </c>
      <c r="C35" s="28">
        <v>0</v>
      </c>
      <c r="D35" s="28">
        <v>0</v>
      </c>
      <c r="E35" s="28">
        <v>0.04461</v>
      </c>
      <c r="F35" s="27"/>
    </row>
    <row r="36" spans="1:6" ht="12.75">
      <c r="A36" s="2">
        <v>19</v>
      </c>
      <c r="B36" s="28">
        <v>0</v>
      </c>
      <c r="C36" s="28">
        <v>0</v>
      </c>
      <c r="D36" s="28">
        <v>0</v>
      </c>
      <c r="E36" s="28">
        <v>0.04462</v>
      </c>
      <c r="F36" s="27"/>
    </row>
    <row r="37" spans="1:6" ht="12.75">
      <c r="A37" s="2">
        <v>20</v>
      </c>
      <c r="B37" s="28">
        <v>0</v>
      </c>
      <c r="C37" s="28">
        <v>0</v>
      </c>
      <c r="D37" s="28">
        <v>0</v>
      </c>
      <c r="E37" s="28">
        <v>0.04461</v>
      </c>
      <c r="F37" s="27"/>
    </row>
    <row r="38" spans="1:6" ht="12.75">
      <c r="A38" s="2">
        <v>21</v>
      </c>
      <c r="B38" s="28">
        <v>0</v>
      </c>
      <c r="C38" s="28">
        <v>0</v>
      </c>
      <c r="D38" s="28">
        <v>0</v>
      </c>
      <c r="E38" s="28">
        <v>0.02231</v>
      </c>
      <c r="F38" s="27"/>
    </row>
    <row r="39" spans="1:5" ht="12.75">
      <c r="A39" s="2">
        <v>22</v>
      </c>
      <c r="B39" s="28">
        <v>0</v>
      </c>
      <c r="C39" s="28">
        <v>0</v>
      </c>
      <c r="D39" s="28">
        <v>0</v>
      </c>
      <c r="E39" s="28">
        <v>0</v>
      </c>
    </row>
    <row r="40" spans="1:5" ht="12.75">
      <c r="A40" s="2">
        <v>23</v>
      </c>
      <c r="B40" s="28">
        <v>0</v>
      </c>
      <c r="C40" s="28">
        <v>0</v>
      </c>
      <c r="D40" s="28">
        <v>0</v>
      </c>
      <c r="E40" s="28">
        <v>0</v>
      </c>
    </row>
    <row r="41" spans="1:5" ht="12.75">
      <c r="A41" s="2">
        <v>24</v>
      </c>
      <c r="B41" s="28">
        <v>0</v>
      </c>
      <c r="C41" s="28">
        <v>0</v>
      </c>
      <c r="D41" s="28">
        <v>0</v>
      </c>
      <c r="E41" s="28">
        <v>0</v>
      </c>
    </row>
    <row r="42" spans="1:5" ht="12.75">
      <c r="A42" s="2">
        <v>25</v>
      </c>
      <c r="B42" s="28">
        <v>0</v>
      </c>
      <c r="C42" s="28">
        <v>0</v>
      </c>
      <c r="D42" s="28">
        <v>0</v>
      </c>
      <c r="E42" s="28">
        <v>0</v>
      </c>
    </row>
    <row r="43" spans="1:5" ht="12.75">
      <c r="A43" s="2">
        <v>26</v>
      </c>
      <c r="B43" s="28">
        <v>0</v>
      </c>
      <c r="C43" s="28">
        <v>0</v>
      </c>
      <c r="D43" s="28">
        <v>0</v>
      </c>
      <c r="E43" s="28">
        <v>0</v>
      </c>
    </row>
    <row r="44" spans="1:5" ht="12.75">
      <c r="A44" s="2">
        <v>27</v>
      </c>
      <c r="B44" s="28">
        <v>0</v>
      </c>
      <c r="C44" s="28">
        <v>0</v>
      </c>
      <c r="D44" s="28">
        <v>0</v>
      </c>
      <c r="E44" s="28">
        <v>0</v>
      </c>
    </row>
    <row r="45" spans="1:5" ht="12.75">
      <c r="A45" s="2">
        <v>28</v>
      </c>
      <c r="B45" s="28">
        <v>0</v>
      </c>
      <c r="C45" s="28">
        <v>0</v>
      </c>
      <c r="D45" s="28">
        <v>0</v>
      </c>
      <c r="E45" s="28">
        <v>0</v>
      </c>
    </row>
    <row r="46" spans="1:5" ht="12.75">
      <c r="A46" s="2">
        <v>29</v>
      </c>
      <c r="B46" s="28">
        <v>0</v>
      </c>
      <c r="C46" s="28">
        <v>0</v>
      </c>
      <c r="D46" s="28">
        <v>0</v>
      </c>
      <c r="E46" s="28">
        <v>0</v>
      </c>
    </row>
    <row r="47" spans="1:5" ht="12.75">
      <c r="A47" s="2">
        <v>30</v>
      </c>
      <c r="B47" s="28">
        <v>0</v>
      </c>
      <c r="C47" s="28">
        <v>0</v>
      </c>
      <c r="D47" s="28">
        <v>0</v>
      </c>
      <c r="E47" s="28">
        <v>0</v>
      </c>
    </row>
    <row r="48" spans="1:5" ht="12.75">
      <c r="A48" s="2">
        <v>31</v>
      </c>
      <c r="B48" s="28">
        <v>0</v>
      </c>
      <c r="C48" s="28">
        <v>0</v>
      </c>
      <c r="D48" s="28">
        <v>0</v>
      </c>
      <c r="E48" s="28">
        <v>0</v>
      </c>
    </row>
    <row r="49" spans="1:5" ht="12.75">
      <c r="A49" s="2">
        <v>31</v>
      </c>
      <c r="B49" s="28">
        <v>0</v>
      </c>
      <c r="C49" s="28">
        <v>0</v>
      </c>
      <c r="D49" s="28">
        <v>0</v>
      </c>
      <c r="E49" s="28">
        <v>0</v>
      </c>
    </row>
  </sheetData>
  <sheetProtection/>
  <mergeCells count="1">
    <mergeCell ref="B15:E15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Roman,Bold"&amp;11Conroy Exhibit M1
Page 3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80" zoomScaleSheetLayoutView="80" workbookViewId="0" topLeftCell="A1">
      <selection activeCell="F72" sqref="F72"/>
    </sheetView>
  </sheetViews>
  <sheetFormatPr defaultColWidth="9.140625" defaultRowHeight="12.75"/>
  <cols>
    <col min="1" max="1" width="9.140625" style="2" customWidth="1"/>
    <col min="2" max="2" width="12.28125" style="2" customWidth="1"/>
    <col min="3" max="3" width="13.57421875" style="2" customWidth="1"/>
    <col min="4" max="4" width="12.57421875" style="2" customWidth="1"/>
    <col min="5" max="5" width="13.00390625" style="2" customWidth="1"/>
    <col min="6" max="7" width="12.8515625" style="2" customWidth="1"/>
    <col min="8" max="8" width="14.00390625" style="2" customWidth="1"/>
    <col min="9" max="9" width="13.140625" style="2" customWidth="1"/>
    <col min="10" max="10" width="12.8515625" style="2" customWidth="1"/>
    <col min="11" max="11" width="12.140625" style="2" customWidth="1"/>
    <col min="12" max="12" width="12.00390625" style="2" hidden="1" customWidth="1"/>
    <col min="13" max="13" width="11.00390625" style="2" hidden="1" customWidth="1"/>
    <col min="14" max="14" width="11.8515625" style="2" customWidth="1"/>
    <col min="15" max="15" width="14.28125" style="2" customWidth="1"/>
    <col min="16" max="16" width="12.28125" style="2" customWidth="1"/>
    <col min="17" max="17" width="13.8515625" style="2" customWidth="1"/>
    <col min="18" max="18" width="15.00390625" style="2" customWidth="1"/>
    <col min="19" max="16384" width="9.140625" style="2" customWidth="1"/>
  </cols>
  <sheetData>
    <row r="1" spans="2:17" ht="18.75">
      <c r="B1" s="1" t="s">
        <v>49</v>
      </c>
      <c r="H1" s="3"/>
      <c r="I1" s="1" t="s">
        <v>49</v>
      </c>
      <c r="Q1" s="3"/>
    </row>
    <row r="2" spans="2:17" ht="12.75">
      <c r="B2" s="2" t="s">
        <v>88</v>
      </c>
      <c r="H2" s="4"/>
      <c r="I2" s="2" t="s">
        <v>88</v>
      </c>
      <c r="Q2" s="4"/>
    </row>
    <row r="3" spans="2:17" ht="12.75">
      <c r="B3" s="22"/>
      <c r="H3" s="4"/>
      <c r="I3" s="22"/>
      <c r="Q3" s="4"/>
    </row>
    <row r="4" spans="2:17" ht="12.75">
      <c r="B4" s="22"/>
      <c r="H4" s="4"/>
      <c r="I4" s="22"/>
      <c r="Q4" s="4"/>
    </row>
    <row r="7" spans="2:9" ht="12.75">
      <c r="B7" s="22" t="s">
        <v>85</v>
      </c>
      <c r="I7" s="22" t="s">
        <v>85</v>
      </c>
    </row>
    <row r="8" spans="2:15" ht="12.75">
      <c r="B8" s="31" t="s">
        <v>84</v>
      </c>
      <c r="F8" s="32">
        <v>1000</v>
      </c>
      <c r="I8" s="31" t="s">
        <v>84</v>
      </c>
      <c r="L8" s="32">
        <v>1000</v>
      </c>
      <c r="O8" s="32">
        <f>F8</f>
        <v>1000</v>
      </c>
    </row>
    <row r="9" spans="2:15" ht="12.75">
      <c r="B9" s="31" t="s">
        <v>83</v>
      </c>
      <c r="F9" s="2">
        <v>30</v>
      </c>
      <c r="I9" s="31" t="s">
        <v>83</v>
      </c>
      <c r="L9" s="2">
        <v>30</v>
      </c>
      <c r="O9" s="2">
        <f>F9</f>
        <v>30</v>
      </c>
    </row>
    <row r="10" spans="2:15" ht="12.75">
      <c r="B10" s="31" t="s">
        <v>82</v>
      </c>
      <c r="F10" s="2">
        <v>20</v>
      </c>
      <c r="I10" s="31" t="s">
        <v>82</v>
      </c>
      <c r="L10" s="2">
        <v>20</v>
      </c>
      <c r="O10" s="2">
        <f>F10</f>
        <v>20</v>
      </c>
    </row>
    <row r="11" spans="2:15" ht="12.75">
      <c r="B11" s="31" t="s">
        <v>81</v>
      </c>
      <c r="F11" s="33">
        <f>'WACOC-Tax Table'!E11</f>
        <v>0.36747251999999997</v>
      </c>
      <c r="I11" s="31" t="s">
        <v>81</v>
      </c>
      <c r="L11" s="33">
        <v>0.3760280836</v>
      </c>
      <c r="O11" s="33">
        <f>F11</f>
        <v>0.36747251999999997</v>
      </c>
    </row>
    <row r="12" spans="2:15" ht="12.75">
      <c r="B12" s="31" t="s">
        <v>80</v>
      </c>
      <c r="F12" s="27">
        <v>0</v>
      </c>
      <c r="I12" s="31" t="s">
        <v>80</v>
      </c>
      <c r="L12" s="27">
        <v>0</v>
      </c>
      <c r="O12" s="27">
        <f>F12</f>
        <v>0</v>
      </c>
    </row>
    <row r="13" spans="2:15" ht="12.75">
      <c r="B13" s="31" t="s">
        <v>79</v>
      </c>
      <c r="F13" s="2">
        <v>35</v>
      </c>
      <c r="I13" s="31" t="s">
        <v>79</v>
      </c>
      <c r="L13" s="2">
        <v>35</v>
      </c>
      <c r="O13" s="2">
        <f>F13</f>
        <v>35</v>
      </c>
    </row>
    <row r="14" spans="2:15" ht="12.75">
      <c r="B14" s="31" t="s">
        <v>78</v>
      </c>
      <c r="F14" s="27">
        <v>0</v>
      </c>
      <c r="I14" s="31" t="s">
        <v>78</v>
      </c>
      <c r="L14" s="27">
        <v>0</v>
      </c>
      <c r="O14" s="27">
        <f>F14</f>
        <v>0</v>
      </c>
    </row>
    <row r="15" spans="2:15" ht="12.75">
      <c r="B15" s="31"/>
      <c r="F15" s="27"/>
      <c r="I15" s="31"/>
      <c r="L15" s="27"/>
      <c r="O15" s="27"/>
    </row>
    <row r="17" spans="2:9" ht="12.75">
      <c r="B17" s="22" t="s">
        <v>77</v>
      </c>
      <c r="I17" s="22" t="s">
        <v>77</v>
      </c>
    </row>
    <row r="18" spans="2:15" ht="12.75">
      <c r="B18" s="31" t="s">
        <v>76</v>
      </c>
      <c r="F18" s="34">
        <f>Q71</f>
        <v>1157.0635514639196</v>
      </c>
      <c r="I18" s="31" t="s">
        <v>76</v>
      </c>
      <c r="L18" s="34">
        <f>X71</f>
        <v>0</v>
      </c>
      <c r="O18" s="34">
        <f>F18</f>
        <v>1157.0635514639196</v>
      </c>
    </row>
    <row r="19" spans="2:15" ht="12.75">
      <c r="B19" s="31" t="s">
        <v>75</v>
      </c>
      <c r="F19" s="35">
        <f>PMT('WACOC-Tax Table'!D13,F13,Q71)*-1</f>
        <v>95.4267980253051</v>
      </c>
      <c r="I19" s="31" t="s">
        <v>75</v>
      </c>
      <c r="L19" s="35">
        <f>PMT('WACOC-Tax Table'!L13,L13,X71)*-1</f>
        <v>0</v>
      </c>
      <c r="O19" s="35">
        <f>F19</f>
        <v>95.4267980253051</v>
      </c>
    </row>
    <row r="20" spans="2:15" ht="12.75">
      <c r="B20" s="31" t="s">
        <v>74</v>
      </c>
      <c r="F20" s="27">
        <f>F19/F8</f>
        <v>0.0954267980253051</v>
      </c>
      <c r="I20" s="31" t="s">
        <v>74</v>
      </c>
      <c r="L20" s="27">
        <f>L19/L8</f>
        <v>0</v>
      </c>
      <c r="O20" s="27">
        <f>F20</f>
        <v>0.0954267980253051</v>
      </c>
    </row>
    <row r="21" spans="2:16" ht="12.75">
      <c r="B21" s="31" t="s">
        <v>73</v>
      </c>
      <c r="F21" s="36">
        <f>1/F20</f>
        <v>10.479236657765902</v>
      </c>
      <c r="G21" s="2" t="s">
        <v>72</v>
      </c>
      <c r="I21" s="31" t="s">
        <v>73</v>
      </c>
      <c r="L21" s="36" t="e">
        <f>1/L20</f>
        <v>#DIV/0!</v>
      </c>
      <c r="M21" s="2" t="s">
        <v>72</v>
      </c>
      <c r="O21" s="36">
        <f>F21</f>
        <v>10.479236657765902</v>
      </c>
      <c r="P21" s="2" t="s">
        <v>72</v>
      </c>
    </row>
    <row r="22" ht="12.75">
      <c r="C22" s="36"/>
    </row>
    <row r="23" ht="12.75">
      <c r="C23" s="36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4"/>
      <c r="Q24" s="4"/>
      <c r="R24" s="24" t="s">
        <v>2</v>
      </c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24"/>
      <c r="J25" s="4"/>
      <c r="K25" s="4"/>
      <c r="L25" s="4"/>
      <c r="M25" s="4"/>
      <c r="N25" s="24"/>
      <c r="O25" s="24"/>
      <c r="P25" s="24" t="s">
        <v>8</v>
      </c>
      <c r="Q25" s="24" t="s">
        <v>8</v>
      </c>
      <c r="R25" s="24" t="s">
        <v>8</v>
      </c>
      <c r="S25" s="24" t="s">
        <v>13</v>
      </c>
    </row>
    <row r="26" spans="1:19" ht="12.75">
      <c r="A26" s="4"/>
      <c r="B26" s="4"/>
      <c r="C26" s="4"/>
      <c r="D26" s="4"/>
      <c r="E26" s="4"/>
      <c r="F26" s="4"/>
      <c r="G26" s="4"/>
      <c r="H26" s="24" t="s">
        <v>71</v>
      </c>
      <c r="I26" s="24"/>
      <c r="J26" s="4"/>
      <c r="K26" s="4"/>
      <c r="L26" s="4"/>
      <c r="M26" s="4"/>
      <c r="N26" s="24"/>
      <c r="O26" s="24" t="s">
        <v>13</v>
      </c>
      <c r="P26" s="24" t="s">
        <v>70</v>
      </c>
      <c r="Q26" s="24" t="s">
        <v>70</v>
      </c>
      <c r="R26" s="24" t="s">
        <v>70</v>
      </c>
      <c r="S26" s="24" t="s">
        <v>69</v>
      </c>
    </row>
    <row r="27" spans="1:19" ht="12.75">
      <c r="A27" s="4"/>
      <c r="B27" s="24"/>
      <c r="C27" s="24" t="s">
        <v>68</v>
      </c>
      <c r="D27" s="24" t="s">
        <v>66</v>
      </c>
      <c r="E27" s="24" t="s">
        <v>67</v>
      </c>
      <c r="F27" s="24" t="s">
        <v>66</v>
      </c>
      <c r="G27" s="24" t="s">
        <v>65</v>
      </c>
      <c r="H27" s="24" t="s">
        <v>65</v>
      </c>
      <c r="I27" s="24"/>
      <c r="J27" s="24"/>
      <c r="K27" s="24"/>
      <c r="L27" s="24"/>
      <c r="M27" s="24" t="s">
        <v>64</v>
      </c>
      <c r="N27" s="24" t="s">
        <v>63</v>
      </c>
      <c r="O27" s="24" t="s">
        <v>62</v>
      </c>
      <c r="P27" s="24" t="s">
        <v>55</v>
      </c>
      <c r="Q27" s="24" t="s">
        <v>62</v>
      </c>
      <c r="R27" s="24" t="s">
        <v>62</v>
      </c>
      <c r="S27" s="24" t="s">
        <v>61</v>
      </c>
    </row>
    <row r="28" spans="1:19" ht="12.75">
      <c r="A28" s="24" t="s">
        <v>4</v>
      </c>
      <c r="B28" s="24" t="s">
        <v>60</v>
      </c>
      <c r="C28" s="24" t="s">
        <v>59</v>
      </c>
      <c r="D28" s="24" t="s">
        <v>58</v>
      </c>
      <c r="E28" s="24" t="s">
        <v>59</v>
      </c>
      <c r="F28" s="24" t="s">
        <v>58</v>
      </c>
      <c r="G28" s="24" t="s">
        <v>57</v>
      </c>
      <c r="H28" s="24" t="s">
        <v>57</v>
      </c>
      <c r="I28" s="24" t="s">
        <v>56</v>
      </c>
      <c r="J28" s="24" t="s">
        <v>55</v>
      </c>
      <c r="K28" s="24" t="s">
        <v>54</v>
      </c>
      <c r="L28" s="24" t="s">
        <v>53</v>
      </c>
      <c r="M28" s="24" t="s">
        <v>52</v>
      </c>
      <c r="N28" s="24" t="s">
        <v>52</v>
      </c>
      <c r="O28" s="24" t="s">
        <v>50</v>
      </c>
      <c r="P28" s="24" t="s">
        <v>51</v>
      </c>
      <c r="Q28" s="24" t="s">
        <v>50</v>
      </c>
      <c r="R28" s="24" t="s">
        <v>50</v>
      </c>
      <c r="S28" s="24" t="s">
        <v>42</v>
      </c>
    </row>
    <row r="30" spans="1:18" ht="12.75">
      <c r="A30" s="2">
        <v>0</v>
      </c>
      <c r="B30" s="32">
        <f>F8</f>
        <v>1000</v>
      </c>
      <c r="C30" s="37"/>
      <c r="D30" s="37"/>
      <c r="E30" s="37"/>
      <c r="F30" s="37"/>
      <c r="G30" s="37"/>
      <c r="H30" s="37"/>
      <c r="I30" s="34">
        <v>0</v>
      </c>
      <c r="J30" s="17">
        <f>'WACOC-Tax Table'!$D$11*I30</f>
        <v>0</v>
      </c>
      <c r="K30" s="32">
        <f>I30*('WACOC-Tax Table'!$D$12)</f>
        <v>0</v>
      </c>
      <c r="M30" s="34">
        <f>$F$12*D30</f>
        <v>0</v>
      </c>
      <c r="N30" s="38">
        <f>($F$11/(1-$F$11))*K30</f>
        <v>0</v>
      </c>
      <c r="O30" s="32">
        <f aca="true" t="shared" si="0" ref="O30:O70">C30+J30+K30+L30+M30+N30</f>
        <v>0</v>
      </c>
      <c r="P30" s="39">
        <f>1/(1+'WACOC-Tax Table'!$D$13)^A30</f>
        <v>1</v>
      </c>
      <c r="Q30" s="40">
        <f aca="true" t="shared" si="1" ref="Q30:Q70">O30*P30</f>
        <v>0</v>
      </c>
      <c r="R30" s="34">
        <f>Q30</f>
        <v>0</v>
      </c>
    </row>
    <row r="31" spans="1:20" ht="12.75">
      <c r="A31" s="2">
        <v>1</v>
      </c>
      <c r="C31" s="38">
        <f>(1/$F$9)*$B$30</f>
        <v>33.333333333333336</v>
      </c>
      <c r="D31" s="38">
        <f>$B$30-C31</f>
        <v>966.6666666666666</v>
      </c>
      <c r="E31" s="38">
        <f>HLOOKUP($F$10,'WACOC-Tax Table'!$B$17:$E$58,A32)*$B$30</f>
        <v>37.5</v>
      </c>
      <c r="F31" s="38">
        <f>B30-E31</f>
        <v>962.5</v>
      </c>
      <c r="G31" s="38">
        <f>(E31-C31)*$F$11</f>
        <v>1.531135499999999</v>
      </c>
      <c r="H31" s="38">
        <f>G31</f>
        <v>1.531135499999999</v>
      </c>
      <c r="I31" s="38">
        <f>D31-H31</f>
        <v>965.1355311666666</v>
      </c>
      <c r="J31" s="38">
        <f>'WACOC-Tax Table'!$D$11*I31</f>
        <v>16.48762646927915</v>
      </c>
      <c r="K31" s="38">
        <f>I31*('WACOC-Tax Table'!$D$12)</f>
        <v>57.010555826015</v>
      </c>
      <c r="L31" s="38">
        <f>$F$14*$F$8</f>
        <v>0</v>
      </c>
      <c r="M31" s="38">
        <f>$F$12*D31</f>
        <v>0</v>
      </c>
      <c r="N31" s="38">
        <f>($F$11/(1-$F$11))*K31</f>
        <v>33.12079439771757</v>
      </c>
      <c r="O31" s="38">
        <f t="shared" si="0"/>
        <v>139.95231002634506</v>
      </c>
      <c r="P31" s="38">
        <f>1/(1+'WACOC-Tax Table'!$D$13)^A31</f>
        <v>0.9292357051935942</v>
      </c>
      <c r="Q31" s="41">
        <f t="shared" si="1"/>
        <v>130.0486835008033</v>
      </c>
      <c r="R31" s="38">
        <f aca="true" t="shared" si="2" ref="R31:R70">R30+Q31</f>
        <v>130.0486835008033</v>
      </c>
      <c r="S31" s="27">
        <f aca="true" t="shared" si="3" ref="S31:S70">O31/$B$30</f>
        <v>0.13995231002634506</v>
      </c>
      <c r="T31" s="35"/>
    </row>
    <row r="32" spans="1:20" ht="12.75">
      <c r="A32" s="2">
        <v>2</v>
      </c>
      <c r="C32" s="38">
        <f>IF(D31&lt;=0.001,0,(1/$F$9)*$B$30)</f>
        <v>33.333333333333336</v>
      </c>
      <c r="D32" s="38">
        <f aca="true" t="shared" si="4" ref="D32:D70">D31-C32</f>
        <v>933.3333333333333</v>
      </c>
      <c r="E32" s="38">
        <f>HLOOKUP($F$10,'WACOC-Tax Table'!$B$17:$E$58,A33)*$B$30</f>
        <v>72.19</v>
      </c>
      <c r="F32" s="38">
        <f aca="true" t="shared" si="5" ref="F32:F70">F31-E32</f>
        <v>890.31</v>
      </c>
      <c r="G32" s="38">
        <f>(E32-C32)*$F$11</f>
        <v>14.278757218799997</v>
      </c>
      <c r="H32" s="38">
        <f aca="true" t="shared" si="6" ref="H32:H70">H31+G32</f>
        <v>15.809892718799997</v>
      </c>
      <c r="I32" s="38">
        <f aca="true" t="shared" si="7" ref="I32:I60">D32-H32</f>
        <v>917.5234406145332</v>
      </c>
      <c r="J32" s="38">
        <f>'WACOC-Tax Table'!$D$11*I32</f>
        <v>15.674258461268769</v>
      </c>
      <c r="K32" s="38">
        <f>I32*('WACOC-Tax Table'!$D$12)</f>
        <v>54.19810963710048</v>
      </c>
      <c r="L32" s="38">
        <f>$F$14*$F$8*(1+$F$15)^A31</f>
        <v>0</v>
      </c>
      <c r="M32" s="38">
        <f>$F$12*D32</f>
        <v>0</v>
      </c>
      <c r="N32" s="38">
        <f>($F$11/(1-$F$11))*K32</f>
        <v>31.486878526734674</v>
      </c>
      <c r="O32" s="38">
        <f t="shared" si="0"/>
        <v>134.69257995843725</v>
      </c>
      <c r="P32" s="39">
        <f>1/(1+'WACOC-Tax Table'!$D$13)^A32</f>
        <v>0.8634789958066363</v>
      </c>
      <c r="Q32" s="41">
        <f t="shared" si="1"/>
        <v>116.30421368511647</v>
      </c>
      <c r="R32" s="38">
        <f t="shared" si="2"/>
        <v>246.35289718591974</v>
      </c>
      <c r="S32" s="27">
        <f t="shared" si="3"/>
        <v>0.13469257995843725</v>
      </c>
      <c r="T32" s="35"/>
    </row>
    <row r="33" spans="1:20" ht="12.75">
      <c r="A33" s="2">
        <v>3</v>
      </c>
      <c r="C33" s="38">
        <f>IF(D32&lt;=0.001,0,(1/$F$9)*$B$30)</f>
        <v>33.333333333333336</v>
      </c>
      <c r="D33" s="38">
        <f t="shared" si="4"/>
        <v>899.9999999999999</v>
      </c>
      <c r="E33" s="38">
        <f>HLOOKUP($F$10,'WACOC-Tax Table'!$B$17:$E$58,A34)*$B$30</f>
        <v>66.77</v>
      </c>
      <c r="F33" s="38">
        <f t="shared" si="5"/>
        <v>823.54</v>
      </c>
      <c r="G33" s="38">
        <f>(E33-C33)*$F$11</f>
        <v>12.287056160399997</v>
      </c>
      <c r="H33" s="38">
        <f t="shared" si="6"/>
        <v>28.096948879199992</v>
      </c>
      <c r="I33" s="38">
        <f t="shared" si="7"/>
        <v>871.9030511207999</v>
      </c>
      <c r="J33" s="38">
        <f>'WACOC-Tax Table'!$D$11*I33</f>
        <v>14.894915128580076</v>
      </c>
      <c r="K33" s="38">
        <f>I33*('WACOC-Tax Table'!$D$12)</f>
        <v>51.503313229705654</v>
      </c>
      <c r="L33" s="38">
        <f>$F$14*$F$8*(1+$F$15)^A32</f>
        <v>0</v>
      </c>
      <c r="M33" s="38">
        <f>$F$12*D33</f>
        <v>0</v>
      </c>
      <c r="N33" s="38">
        <f>($F$11/(1-$F$11))*K33</f>
        <v>29.92131235289457</v>
      </c>
      <c r="O33" s="38">
        <f t="shared" si="0"/>
        <v>129.65287404451362</v>
      </c>
      <c r="P33" s="39">
        <f>1/(1+'WACOC-Tax Table'!$D$13)^A33</f>
        <v>0.8023755135882363</v>
      </c>
      <c r="Q33" s="41">
        <f t="shared" si="1"/>
        <v>104.03029139965753</v>
      </c>
      <c r="R33" s="38">
        <f t="shared" si="2"/>
        <v>350.3831885855773</v>
      </c>
      <c r="S33" s="27">
        <f t="shared" si="3"/>
        <v>0.12965287404451362</v>
      </c>
      <c r="T33" s="35"/>
    </row>
    <row r="34" spans="1:20" ht="12.75">
      <c r="A34" s="2">
        <v>4</v>
      </c>
      <c r="C34" s="38">
        <f>IF(D33&lt;=0.001,0,(1/$F$9)*$B$30)</f>
        <v>33.333333333333336</v>
      </c>
      <c r="D34" s="38">
        <f t="shared" si="4"/>
        <v>866.6666666666665</v>
      </c>
      <c r="E34" s="38">
        <f>HLOOKUP($F$10,'WACOC-Tax Table'!$B$17:$E$58,A35)*$B$30</f>
        <v>61.769999999999996</v>
      </c>
      <c r="F34" s="38">
        <f t="shared" si="5"/>
        <v>761.77</v>
      </c>
      <c r="G34" s="38">
        <f>(E34-C34)*$F$11</f>
        <v>10.449693560399997</v>
      </c>
      <c r="H34" s="38">
        <f t="shared" si="6"/>
        <v>38.54664243959999</v>
      </c>
      <c r="I34" s="38">
        <f t="shared" si="7"/>
        <v>828.1200242270666</v>
      </c>
      <c r="J34" s="38">
        <f>'WACOC-Tax Table'!$D$11*I34</f>
        <v>14.146959872756405</v>
      </c>
      <c r="K34" s="38">
        <f>I34*('WACOC-Tax Table'!$D$12)</f>
        <v>48.917049831092825</v>
      </c>
      <c r="L34" s="38">
        <f>$F$14*$F$8*(1+$F$15)^A33</f>
        <v>0</v>
      </c>
      <c r="M34" s="38">
        <f>$F$12*D34</f>
        <v>0</v>
      </c>
      <c r="N34" s="38">
        <f>($F$11/(1-$F$11))*K34</f>
        <v>28.418799405200946</v>
      </c>
      <c r="O34" s="38">
        <f t="shared" si="0"/>
        <v>124.81614244238351</v>
      </c>
      <c r="P34" s="39">
        <f>1/(1+'WACOC-Tax Table'!$D$13)^A34</f>
        <v>0.7455959761992371</v>
      </c>
      <c r="Q34" s="41">
        <f t="shared" si="1"/>
        <v>93.06241356975197</v>
      </c>
      <c r="R34" s="38">
        <f t="shared" si="2"/>
        <v>443.44560215532925</v>
      </c>
      <c r="S34" s="27">
        <f t="shared" si="3"/>
        <v>0.12481614244238351</v>
      </c>
      <c r="T34" s="35"/>
    </row>
    <row r="35" spans="1:20" ht="12.75">
      <c r="A35" s="2">
        <v>5</v>
      </c>
      <c r="C35" s="38">
        <f>IF(D34&lt;=0.001,0,(1/$F$9)*$B$30)</f>
        <v>33.333333333333336</v>
      </c>
      <c r="D35" s="38">
        <f t="shared" si="4"/>
        <v>833.3333333333331</v>
      </c>
      <c r="E35" s="38">
        <f>HLOOKUP($F$10,'WACOC-Tax Table'!$B$17:$E$58,A36)*$B$30</f>
        <v>57.13</v>
      </c>
      <c r="F35" s="38">
        <f t="shared" si="5"/>
        <v>704.64</v>
      </c>
      <c r="G35" s="38">
        <f>(E35-C35)*$F$11</f>
        <v>8.744621067599999</v>
      </c>
      <c r="H35" s="38">
        <f t="shared" si="6"/>
        <v>47.29126350719999</v>
      </c>
      <c r="I35" s="38">
        <f t="shared" si="7"/>
        <v>786.0420698261331</v>
      </c>
      <c r="J35" s="38">
        <f>'WACOC-Tax Table'!$D$11*I35</f>
        <v>13.428132752263474</v>
      </c>
      <c r="K35" s="38">
        <f>I35*('WACOC-Tax Table'!$D$12)</f>
        <v>46.43150506462969</v>
      </c>
      <c r="L35" s="38">
        <f>$F$14*$F$8*(1+$F$15)^A34</f>
        <v>0</v>
      </c>
      <c r="M35" s="38">
        <f>$F$12*D35</f>
        <v>0</v>
      </c>
      <c r="N35" s="38">
        <f>($F$11/(1-$F$11))*K35</f>
        <v>26.974799851371255</v>
      </c>
      <c r="O35" s="38">
        <f t="shared" si="0"/>
        <v>120.16777100159776</v>
      </c>
      <c r="P35" s="39">
        <f>1/(1+'WACOC-Tax Table'!$D$13)^A35</f>
        <v>0.6928344027330043</v>
      </c>
      <c r="Q35" s="41">
        <f t="shared" si="1"/>
        <v>83.25636584964842</v>
      </c>
      <c r="R35" s="38">
        <f t="shared" si="2"/>
        <v>526.7019680049776</v>
      </c>
      <c r="S35" s="27">
        <f t="shared" si="3"/>
        <v>0.12016777100159776</v>
      </c>
      <c r="T35" s="35"/>
    </row>
    <row r="36" spans="1:20" ht="12.75">
      <c r="A36" s="2">
        <v>6</v>
      </c>
      <c r="C36" s="38">
        <f>IF(D35&lt;=0.001,0,(1/$F$9)*$B$30)</f>
        <v>33.333333333333336</v>
      </c>
      <c r="D36" s="38">
        <f t="shared" si="4"/>
        <v>799.9999999999998</v>
      </c>
      <c r="E36" s="38">
        <f>HLOOKUP($F$10,'WACOC-Tax Table'!$B$17:$E$58,A37)*$B$30</f>
        <v>52.85</v>
      </c>
      <c r="F36" s="38">
        <f t="shared" si="5"/>
        <v>651.79</v>
      </c>
      <c r="G36" s="38">
        <f>(E36-C36)*$F$11</f>
        <v>7.171838681999999</v>
      </c>
      <c r="H36" s="38">
        <f t="shared" si="6"/>
        <v>54.463102189199994</v>
      </c>
      <c r="I36" s="38">
        <f t="shared" si="7"/>
        <v>745.5368978107998</v>
      </c>
      <c r="J36" s="38">
        <f>'WACOC-Tax Table'!$D$11*I36</f>
        <v>12.736173825567004</v>
      </c>
      <c r="K36" s="38">
        <f>I36*('WACOC-Tax Table'!$D$12)</f>
        <v>44.03886455368395</v>
      </c>
      <c r="L36" s="38">
        <f>$F$14*$F$8*(1+$F$15)^A35</f>
        <v>0</v>
      </c>
      <c r="M36" s="38">
        <f>$F$12*D36</f>
        <v>0</v>
      </c>
      <c r="N36" s="38">
        <f>($F$11/(1-$F$11))*K36</f>
        <v>25.58477385912295</v>
      </c>
      <c r="O36" s="38">
        <f t="shared" si="0"/>
        <v>115.69314557170723</v>
      </c>
      <c r="P36" s="39">
        <f>1/(1+'WACOC-Tax Table'!$D$13)^A36</f>
        <v>0.6438064648059859</v>
      </c>
      <c r="Q36" s="41">
        <f t="shared" si="1"/>
        <v>74.48399505280514</v>
      </c>
      <c r="R36" s="38">
        <f t="shared" si="2"/>
        <v>601.1859630577828</v>
      </c>
      <c r="S36" s="27">
        <f t="shared" si="3"/>
        <v>0.11569314557170723</v>
      </c>
      <c r="T36" s="35"/>
    </row>
    <row r="37" spans="1:20" ht="12.75">
      <c r="A37" s="2">
        <v>7</v>
      </c>
      <c r="C37" s="38">
        <f>IF(D36&lt;=0.001,0,(1/$F$9)*$B$30)</f>
        <v>33.333333333333336</v>
      </c>
      <c r="D37" s="38">
        <f t="shared" si="4"/>
        <v>766.6666666666664</v>
      </c>
      <c r="E37" s="38">
        <f>HLOOKUP($F$10,'WACOC-Tax Table'!$B$17:$E$58,A38)*$B$30</f>
        <v>48.88</v>
      </c>
      <c r="F37" s="38">
        <f t="shared" si="5"/>
        <v>602.91</v>
      </c>
      <c r="G37" s="38">
        <f>(E37-C37)*$F$11</f>
        <v>5.712972777599999</v>
      </c>
      <c r="H37" s="38">
        <f t="shared" si="6"/>
        <v>60.176074966799995</v>
      </c>
      <c r="I37" s="38">
        <f t="shared" si="7"/>
        <v>706.4905916998664</v>
      </c>
      <c r="J37" s="38">
        <f>'WACOC-Tax Table'!$D$11*I37</f>
        <v>12.06913703190136</v>
      </c>
      <c r="K37" s="38">
        <f>I37*('WACOC-Tax Table'!$D$12)</f>
        <v>41.73239925171111</v>
      </c>
      <c r="L37" s="38">
        <f>$F$14*$F$8*(1+$F$15)^A36</f>
        <v>0</v>
      </c>
      <c r="M37" s="38">
        <f>$F$12*D37</f>
        <v>0</v>
      </c>
      <c r="N37" s="38">
        <f>($F$11/(1-$F$11))*K37</f>
        <v>24.244812128434948</v>
      </c>
      <c r="O37" s="38">
        <f t="shared" si="0"/>
        <v>111.37968174538074</v>
      </c>
      <c r="P37" s="39">
        <f>1/(1+'WACOC-Tax Table'!$D$13)^A37</f>
        <v>0.5982479543321852</v>
      </c>
      <c r="Q37" s="41">
        <f t="shared" si="1"/>
        <v>66.63266675834386</v>
      </c>
      <c r="R37" s="38">
        <f t="shared" si="2"/>
        <v>667.8186298161266</v>
      </c>
      <c r="S37" s="27">
        <f t="shared" si="3"/>
        <v>0.11137968174538074</v>
      </c>
      <c r="T37" s="35"/>
    </row>
    <row r="38" spans="1:20" ht="12.75">
      <c r="A38" s="2">
        <v>8</v>
      </c>
      <c r="C38" s="38">
        <f>IF(D37&lt;=0.001,0,(1/$F$9)*$B$30)</f>
        <v>33.333333333333336</v>
      </c>
      <c r="D38" s="38">
        <f t="shared" si="4"/>
        <v>733.333333333333</v>
      </c>
      <c r="E38" s="38">
        <f>HLOOKUP($F$10,'WACOC-Tax Table'!$B$17:$E$58,A39)*$B$30</f>
        <v>45.220000000000006</v>
      </c>
      <c r="F38" s="38">
        <f t="shared" si="5"/>
        <v>557.6899999999999</v>
      </c>
      <c r="G38" s="38">
        <f>(E38-C38)*$F$11</f>
        <v>4.368023354400001</v>
      </c>
      <c r="H38" s="38">
        <f t="shared" si="6"/>
        <v>64.5440983212</v>
      </c>
      <c r="I38" s="38">
        <f t="shared" si="7"/>
        <v>668.7892350121331</v>
      </c>
      <c r="J38" s="38">
        <f>'WACOC-Tax Table'!$D$11*I38</f>
        <v>11.425076310500913</v>
      </c>
      <c r="K38" s="38">
        <f>I38*('WACOC-Tax Table'!$D$12)</f>
        <v>39.505380112166705</v>
      </c>
      <c r="L38" s="38">
        <f>$F$14*$F$8*(1+$F$15)^A37</f>
        <v>0</v>
      </c>
      <c r="M38" s="38">
        <f>$F$12*D38</f>
        <v>0</v>
      </c>
      <c r="N38" s="38">
        <f>($F$11/(1-$F$11))*K38</f>
        <v>22.951005359286178</v>
      </c>
      <c r="O38" s="38">
        <f t="shared" si="0"/>
        <v>107.21479511528713</v>
      </c>
      <c r="P38" s="39">
        <f>1/(1+'WACOC-Tax Table'!$D$13)^A38</f>
        <v>0.5559133597244933</v>
      </c>
      <c r="Q38" s="41">
        <f t="shared" si="1"/>
        <v>59.602136964712464</v>
      </c>
      <c r="R38" s="38">
        <f t="shared" si="2"/>
        <v>727.4207667808391</v>
      </c>
      <c r="S38" s="27">
        <f t="shared" si="3"/>
        <v>0.10721479511528713</v>
      </c>
      <c r="T38" s="35"/>
    </row>
    <row r="39" spans="1:20" ht="12.75">
      <c r="A39" s="2">
        <v>9</v>
      </c>
      <c r="C39" s="38">
        <f>IF(D38&lt;=0.001,0,(1/$F$9)*$B$30)</f>
        <v>33.333333333333336</v>
      </c>
      <c r="D39" s="38">
        <f t="shared" si="4"/>
        <v>699.9999999999997</v>
      </c>
      <c r="E39" s="38">
        <f>HLOOKUP($F$10,'WACOC-Tax Table'!$B$17:$E$58,A40)*$B$30</f>
        <v>44.62</v>
      </c>
      <c r="F39" s="38">
        <f t="shared" si="5"/>
        <v>513.0699999999999</v>
      </c>
      <c r="G39" s="38">
        <f>(E39-C39)*$F$11</f>
        <v>4.147539842399998</v>
      </c>
      <c r="H39" s="38">
        <f t="shared" si="6"/>
        <v>68.69163816359999</v>
      </c>
      <c r="I39" s="38">
        <f t="shared" si="7"/>
        <v>631.3083618363996</v>
      </c>
      <c r="J39" s="38">
        <f>'WACOC-Tax Table'!$D$11*I39</f>
        <v>10.784782158324267</v>
      </c>
      <c r="K39" s="38">
        <f>I39*('WACOC-Tax Table'!$D$12)</f>
        <v>37.29138493367613</v>
      </c>
      <c r="L39" s="38">
        <f>$F$14*$F$8*(1+$F$15)^A38</f>
        <v>0</v>
      </c>
      <c r="M39" s="38">
        <f>$F$12*D39</f>
        <v>0</v>
      </c>
      <c r="N39" s="38">
        <f>($F$11/(1-$F$11))*K39</f>
        <v>21.664764977274977</v>
      </c>
      <c r="O39" s="38">
        <f t="shared" si="0"/>
        <v>103.07426540260872</v>
      </c>
      <c r="P39" s="39">
        <f>1/(1+'WACOC-Tax Table'!$D$13)^A39</f>
        <v>0.5165745428501298</v>
      </c>
      <c r="Q39" s="41">
        <f t="shared" si="1"/>
        <v>53.24554152996555</v>
      </c>
      <c r="R39" s="38">
        <f t="shared" si="2"/>
        <v>780.6663083108047</v>
      </c>
      <c r="S39" s="27">
        <f t="shared" si="3"/>
        <v>0.10307426540260872</v>
      </c>
      <c r="T39" s="35"/>
    </row>
    <row r="40" spans="1:20" ht="12.75">
      <c r="A40" s="2">
        <v>10</v>
      </c>
      <c r="C40" s="38">
        <f>IF(D39&lt;=0.001,0,(1/$F$9)*$B$30)</f>
        <v>33.333333333333336</v>
      </c>
      <c r="D40" s="38">
        <f t="shared" si="4"/>
        <v>666.6666666666663</v>
      </c>
      <c r="E40" s="38">
        <f>HLOOKUP($F$10,'WACOC-Tax Table'!$B$17:$E$58,A41)*$B$30</f>
        <v>44.61</v>
      </c>
      <c r="F40" s="38">
        <f t="shared" si="5"/>
        <v>468.4599999999999</v>
      </c>
      <c r="G40" s="38">
        <f>(E40-C40)*$F$11</f>
        <v>4.143865117199999</v>
      </c>
      <c r="H40" s="38">
        <f t="shared" si="6"/>
        <v>72.83550328079998</v>
      </c>
      <c r="I40" s="38">
        <f t="shared" si="7"/>
        <v>593.8311633858663</v>
      </c>
      <c r="J40" s="38">
        <f>'WACOC-Tax Table'!$D$11*I40</f>
        <v>10.144550782301353</v>
      </c>
      <c r="K40" s="38">
        <f>I40*('WACOC-Tax Table'!$D$12)</f>
        <v>35.077606821203126</v>
      </c>
      <c r="L40" s="38">
        <f>$F$14*$F$8*(1+$F$15)^A39</f>
        <v>0</v>
      </c>
      <c r="M40" s="38">
        <f>$F$12*D40</f>
        <v>0</v>
      </c>
      <c r="N40" s="38">
        <f>($F$11/(1-$F$11))*K40</f>
        <v>20.378650701716076</v>
      </c>
      <c r="O40" s="38">
        <f t="shared" si="0"/>
        <v>98.93414163855388</v>
      </c>
      <c r="P40" s="39">
        <f>1/(1+'WACOC-Tax Table'!$D$13)^A40</f>
        <v>0.4800195096103988</v>
      </c>
      <c r="Q40" s="41">
        <f t="shared" si="1"/>
        <v>47.49031815306437</v>
      </c>
      <c r="R40" s="38">
        <f t="shared" si="2"/>
        <v>828.156626463869</v>
      </c>
      <c r="S40" s="27">
        <f t="shared" si="3"/>
        <v>0.09893414163855388</v>
      </c>
      <c r="T40" s="35"/>
    </row>
    <row r="41" spans="1:20" ht="12.75">
      <c r="A41" s="2">
        <v>11</v>
      </c>
      <c r="C41" s="38">
        <f>IF(D40&lt;=0.001,0,(1/$F$9)*$B$30)</f>
        <v>33.333333333333336</v>
      </c>
      <c r="D41" s="38">
        <f t="shared" si="4"/>
        <v>633.3333333333329</v>
      </c>
      <c r="E41" s="38">
        <f>HLOOKUP($F$10,'WACOC-Tax Table'!$B$17:$E$58,A42)*$B$30</f>
        <v>44.62</v>
      </c>
      <c r="F41" s="38">
        <f t="shared" si="5"/>
        <v>423.8399999999999</v>
      </c>
      <c r="G41" s="38">
        <f>(E41-C41)*$F$11</f>
        <v>4.147539842399998</v>
      </c>
      <c r="H41" s="38">
        <f t="shared" si="6"/>
        <v>76.98304312319998</v>
      </c>
      <c r="I41" s="38">
        <f t="shared" si="7"/>
        <v>556.3502902101329</v>
      </c>
      <c r="J41" s="38">
        <f>'WACOC-Tax Table'!$D$11*I41</f>
        <v>9.504256630124708</v>
      </c>
      <c r="K41" s="38">
        <f>I41*('WACOC-Tax Table'!$D$12)</f>
        <v>32.863611642712556</v>
      </c>
      <c r="L41" s="38">
        <f>$F$14*$F$8*(1+$F$15)^A40</f>
        <v>0</v>
      </c>
      <c r="M41" s="38">
        <f>$F$12*D41</f>
        <v>0</v>
      </c>
      <c r="N41" s="38">
        <f>($F$11/(1-$F$11))*K41</f>
        <v>19.09241031970488</v>
      </c>
      <c r="O41" s="38">
        <f t="shared" si="0"/>
        <v>94.79361192587548</v>
      </c>
      <c r="P41" s="39">
        <f>1/(1+'WACOC-Tax Table'!$D$13)^A41</f>
        <v>0.44605126751950225</v>
      </c>
      <c r="Q41" s="41">
        <f t="shared" si="1"/>
        <v>42.28281075228856</v>
      </c>
      <c r="R41" s="38">
        <f t="shared" si="2"/>
        <v>870.4394372161576</v>
      </c>
      <c r="S41" s="27">
        <f t="shared" si="3"/>
        <v>0.09479361192587549</v>
      </c>
      <c r="T41" s="35"/>
    </row>
    <row r="42" spans="1:20" ht="12.75">
      <c r="A42" s="2">
        <v>12</v>
      </c>
      <c r="C42" s="38">
        <f>IF(D41&lt;=0.001,0,(1/$F$9)*$B$30)</f>
        <v>33.333333333333336</v>
      </c>
      <c r="D42" s="38">
        <f t="shared" si="4"/>
        <v>599.9999999999995</v>
      </c>
      <c r="E42" s="38">
        <f>HLOOKUP($F$10,'WACOC-Tax Table'!$B$17:$E$58,A43)*$B$30</f>
        <v>44.61</v>
      </c>
      <c r="F42" s="38">
        <f t="shared" si="5"/>
        <v>379.2299999999999</v>
      </c>
      <c r="G42" s="38">
        <f>(E42-C42)*$F$11</f>
        <v>4.143865117199999</v>
      </c>
      <c r="H42" s="38">
        <f t="shared" si="6"/>
        <v>81.12690824039997</v>
      </c>
      <c r="I42" s="38">
        <f t="shared" si="7"/>
        <v>518.8730917595996</v>
      </c>
      <c r="J42" s="38">
        <f>'WACOC-Tax Table'!$D$11*I42</f>
        <v>8.864025254101794</v>
      </c>
      <c r="K42" s="38">
        <f>I42*('WACOC-Tax Table'!$D$12)</f>
        <v>30.649833530239547</v>
      </c>
      <c r="L42" s="38">
        <f>$F$14*$F$8*(1+$F$15)^A41</f>
        <v>0</v>
      </c>
      <c r="M42" s="38">
        <f>$F$12*D42</f>
        <v>0</v>
      </c>
      <c r="N42" s="38">
        <f>($F$11/(1-$F$11))*K42</f>
        <v>17.806296044145974</v>
      </c>
      <c r="O42" s="38">
        <f t="shared" si="0"/>
        <v>90.65348816182066</v>
      </c>
      <c r="P42" s="39">
        <f>1/(1+'WACOC-Tax Table'!$D$13)^A42</f>
        <v>0.41448676412598123</v>
      </c>
      <c r="Q42" s="41">
        <f t="shared" si="1"/>
        <v>37.57467096492599</v>
      </c>
      <c r="R42" s="38">
        <f t="shared" si="2"/>
        <v>908.0141081810835</v>
      </c>
      <c r="S42" s="27">
        <f t="shared" si="3"/>
        <v>0.09065348816182066</v>
      </c>
      <c r="T42" s="35"/>
    </row>
    <row r="43" spans="1:20" ht="12.75">
      <c r="A43" s="2">
        <v>13</v>
      </c>
      <c r="C43" s="38">
        <f>IF(D42&lt;=0.001,0,(1/$F$9)*$B$30)</f>
        <v>33.333333333333336</v>
      </c>
      <c r="D43" s="38">
        <f t="shared" si="4"/>
        <v>566.6666666666662</v>
      </c>
      <c r="E43" s="38">
        <f>HLOOKUP($F$10,'WACOC-Tax Table'!$B$17:$E$58,A44)*$B$30</f>
        <v>44.62</v>
      </c>
      <c r="F43" s="38">
        <f t="shared" si="5"/>
        <v>334.6099999999999</v>
      </c>
      <c r="G43" s="38">
        <f>(E43-C43)*$F$11</f>
        <v>4.147539842399998</v>
      </c>
      <c r="H43" s="38">
        <f t="shared" si="6"/>
        <v>85.27444808279996</v>
      </c>
      <c r="I43" s="38">
        <f t="shared" si="7"/>
        <v>481.3922185838662</v>
      </c>
      <c r="J43" s="38">
        <f>'WACOC-Tax Table'!$D$11*I43</f>
        <v>8.22373110192515</v>
      </c>
      <c r="K43" s="38">
        <f>I43*('WACOC-Tax Table'!$D$12)</f>
        <v>28.43583835174898</v>
      </c>
      <c r="L43" s="38">
        <f>$F$14*$F$8*(1+$F$15)^A42</f>
        <v>0</v>
      </c>
      <c r="M43" s="38">
        <f>$F$12*D43</f>
        <v>0</v>
      </c>
      <c r="N43" s="38">
        <f>($F$11/(1-$F$11))*K43</f>
        <v>16.52005566213478</v>
      </c>
      <c r="O43" s="38">
        <f t="shared" si="0"/>
        <v>86.51295844914225</v>
      </c>
      <c r="P43" s="39">
        <f>1/(1+'WACOC-Tax Table'!$D$13)^A43</f>
        <v>0.3851559005560171</v>
      </c>
      <c r="Q43" s="41">
        <f t="shared" si="1"/>
        <v>33.32097642124467</v>
      </c>
      <c r="R43" s="38">
        <f t="shared" si="2"/>
        <v>941.3350846023283</v>
      </c>
      <c r="S43" s="27">
        <f t="shared" si="3"/>
        <v>0.08651295844914225</v>
      </c>
      <c r="T43" s="35"/>
    </row>
    <row r="44" spans="1:20" ht="12.75">
      <c r="A44" s="2">
        <v>14</v>
      </c>
      <c r="C44" s="38">
        <f>IF(D43&lt;=0.001,0,(1/$F$9)*$B$30)</f>
        <v>33.333333333333336</v>
      </c>
      <c r="D44" s="38">
        <f t="shared" si="4"/>
        <v>533.3333333333328</v>
      </c>
      <c r="E44" s="38">
        <f>HLOOKUP($F$10,'WACOC-Tax Table'!$B$17:$E$58,A45)*$B$30</f>
        <v>44.61</v>
      </c>
      <c r="F44" s="38">
        <f t="shared" si="5"/>
        <v>289.9999999999999</v>
      </c>
      <c r="G44" s="38">
        <f>(E44-C44)*$F$11</f>
        <v>4.143865117199999</v>
      </c>
      <c r="H44" s="38">
        <f t="shared" si="6"/>
        <v>89.41831319999996</v>
      </c>
      <c r="I44" s="38">
        <f t="shared" si="7"/>
        <v>443.91502013333286</v>
      </c>
      <c r="J44" s="38">
        <f>'WACOC-Tax Table'!$D$11*I44</f>
        <v>7.583499725902236</v>
      </c>
      <c r="K44" s="38">
        <f>I44*('WACOC-Tax Table'!$D$12)</f>
        <v>26.222060239275972</v>
      </c>
      <c r="L44" s="38">
        <f>$F$14*$F$8*(1+$F$15)^A43</f>
        <v>0</v>
      </c>
      <c r="M44" s="38">
        <f>$F$12*D44</f>
        <v>0</v>
      </c>
      <c r="N44" s="38">
        <f>($F$11/(1-$F$11))*K44</f>
        <v>15.233941386575875</v>
      </c>
      <c r="O44" s="38">
        <f t="shared" si="0"/>
        <v>82.37283468508743</v>
      </c>
      <c r="P44" s="39">
        <f>1/(1+'WACOC-Tax Table'!$D$13)^A44</f>
        <v>0.35790061486264435</v>
      </c>
      <c r="Q44" s="41">
        <f t="shared" si="1"/>
        <v>29.481288181771745</v>
      </c>
      <c r="R44" s="38">
        <f t="shared" si="2"/>
        <v>970.8163727841</v>
      </c>
      <c r="S44" s="27">
        <f t="shared" si="3"/>
        <v>0.08237283468508742</v>
      </c>
      <c r="T44" s="35"/>
    </row>
    <row r="45" spans="1:20" ht="12.75">
      <c r="A45" s="2">
        <v>15</v>
      </c>
      <c r="C45" s="38">
        <f>IF(D44&lt;=0.001,0,(1/$F$9)*$B$30)</f>
        <v>33.333333333333336</v>
      </c>
      <c r="D45" s="38">
        <f t="shared" si="4"/>
        <v>499.9999999999995</v>
      </c>
      <c r="E45" s="38">
        <f>HLOOKUP($F$10,'WACOC-Tax Table'!$B$17:$E$58,A46)*$B$30</f>
        <v>44.62</v>
      </c>
      <c r="F45" s="38">
        <f t="shared" si="5"/>
        <v>245.37999999999988</v>
      </c>
      <c r="G45" s="38">
        <f>(E45-C45)*$F$11</f>
        <v>4.147539842399998</v>
      </c>
      <c r="H45" s="38">
        <f t="shared" si="6"/>
        <v>93.56585304239995</v>
      </c>
      <c r="I45" s="38">
        <f t="shared" si="7"/>
        <v>406.4341469575995</v>
      </c>
      <c r="J45" s="38">
        <f>'WACOC-Tax Table'!$D$11*I45</f>
        <v>6.943205573725591</v>
      </c>
      <c r="K45" s="38">
        <f>I45*('WACOC-Tax Table'!$D$12)</f>
        <v>24.008065060785405</v>
      </c>
      <c r="L45" s="38">
        <f>$F$14*$F$8*(1+$F$15)^A44</f>
        <v>0</v>
      </c>
      <c r="M45" s="38">
        <f>$F$12*D45</f>
        <v>0</v>
      </c>
      <c r="N45" s="38">
        <f>($F$11/(1-$F$11))*K45</f>
        <v>13.94770100456468</v>
      </c>
      <c r="O45" s="38">
        <f t="shared" si="0"/>
        <v>78.23230497240901</v>
      </c>
      <c r="P45" s="39">
        <f>1/(1+'WACOC-Tax Table'!$D$13)^A45</f>
        <v>0.3325740302411104</v>
      </c>
      <c r="Q45" s="41">
        <f t="shared" si="1"/>
        <v>26.018032959725723</v>
      </c>
      <c r="R45" s="38">
        <f t="shared" si="2"/>
        <v>996.8344057438258</v>
      </c>
      <c r="S45" s="27">
        <f t="shared" si="3"/>
        <v>0.07823230497240902</v>
      </c>
      <c r="T45" s="35"/>
    </row>
    <row r="46" spans="1:20" ht="12.75">
      <c r="A46" s="2">
        <v>16</v>
      </c>
      <c r="C46" s="38">
        <f>IF(D45&lt;=0.001,0,(1/$F$9)*$B$30)</f>
        <v>33.333333333333336</v>
      </c>
      <c r="D46" s="38">
        <f t="shared" si="4"/>
        <v>466.6666666666662</v>
      </c>
      <c r="E46" s="38">
        <f>HLOOKUP($F$10,'WACOC-Tax Table'!$B$17:$E$58,A47)*$B$30</f>
        <v>44.61</v>
      </c>
      <c r="F46" s="38">
        <f t="shared" si="5"/>
        <v>200.76999999999987</v>
      </c>
      <c r="G46" s="38">
        <f>(E46-C46)*$F$11</f>
        <v>4.143865117199999</v>
      </c>
      <c r="H46" s="38">
        <f t="shared" si="6"/>
        <v>97.70971815959994</v>
      </c>
      <c r="I46" s="38">
        <f t="shared" si="7"/>
        <v>368.9569485070662</v>
      </c>
      <c r="J46" s="38">
        <f>'WACOC-Tax Table'!$D$11*I46</f>
        <v>6.302974197702678</v>
      </c>
      <c r="K46" s="38">
        <f>I46*('WACOC-Tax Table'!$D$12)</f>
        <v>21.794286948312404</v>
      </c>
      <c r="L46" s="38">
        <f>$F$14*$F$8*(1+$F$15)^A45</f>
        <v>0</v>
      </c>
      <c r="M46" s="38">
        <f>$F$12*D46</f>
        <v>0</v>
      </c>
      <c r="N46" s="38">
        <f>($F$11/(1-$F$11))*K46</f>
        <v>12.66158672900578</v>
      </c>
      <c r="O46" s="38">
        <f t="shared" si="0"/>
        <v>74.09218120835419</v>
      </c>
      <c r="P46" s="39">
        <f>1/(1+'WACOC-Tax Table'!$D$13)^A46</f>
        <v>0.30903966352017387</v>
      </c>
      <c r="Q46" s="41">
        <f t="shared" si="1"/>
        <v>22.897422750105527</v>
      </c>
      <c r="R46" s="38">
        <f t="shared" si="2"/>
        <v>1019.7318284939313</v>
      </c>
      <c r="S46" s="27">
        <f t="shared" si="3"/>
        <v>0.07409218120835419</v>
      </c>
      <c r="T46" s="35"/>
    </row>
    <row r="47" spans="1:20" ht="12.75">
      <c r="A47" s="2">
        <v>17</v>
      </c>
      <c r="C47" s="38">
        <f>IF(D46&lt;=0.001,0,(1/$F$9)*$B$30)</f>
        <v>33.333333333333336</v>
      </c>
      <c r="D47" s="38">
        <f t="shared" si="4"/>
        <v>433.33333333333286</v>
      </c>
      <c r="E47" s="38">
        <f>HLOOKUP($F$10,'WACOC-Tax Table'!$B$17:$E$58,A48)*$B$30</f>
        <v>44.62</v>
      </c>
      <c r="F47" s="38">
        <f t="shared" si="5"/>
        <v>156.14999999999986</v>
      </c>
      <c r="G47" s="38">
        <f>(E47-C47)*$F$11</f>
        <v>4.147539842399998</v>
      </c>
      <c r="H47" s="38">
        <f t="shared" si="6"/>
        <v>101.85725800199994</v>
      </c>
      <c r="I47" s="38">
        <f t="shared" si="7"/>
        <v>331.47607533133294</v>
      </c>
      <c r="J47" s="38">
        <f>'WACOC-Tax Table'!$D$11*I47</f>
        <v>5.662680045526035</v>
      </c>
      <c r="K47" s="38">
        <f>I47*('WACOC-Tax Table'!$D$12)</f>
        <v>19.580291769821837</v>
      </c>
      <c r="L47" s="38">
        <f>$F$14*$F$8*(1+$F$15)^A46</f>
        <v>0</v>
      </c>
      <c r="M47" s="38">
        <f>$F$12*D47</f>
        <v>0</v>
      </c>
      <c r="N47" s="38">
        <f>($F$11/(1-$F$11))*K47</f>
        <v>11.375346346994585</v>
      </c>
      <c r="O47" s="38">
        <f t="shared" si="0"/>
        <v>69.9516514956758</v>
      </c>
      <c r="P47" s="39">
        <f>1/(1+'WACOC-Tax Table'!$D$13)^A47</f>
        <v>0.28717068966395987</v>
      </c>
      <c r="Q47" s="41">
        <f t="shared" si="1"/>
        <v>20.08806400314619</v>
      </c>
      <c r="R47" s="38">
        <f t="shared" si="2"/>
        <v>1039.8198924970775</v>
      </c>
      <c r="S47" s="27">
        <f t="shared" si="3"/>
        <v>0.06995165149567581</v>
      </c>
      <c r="T47" s="35"/>
    </row>
    <row r="48" spans="1:20" ht="12.75">
      <c r="A48" s="2">
        <v>18</v>
      </c>
      <c r="C48" s="38">
        <f>IF(D47&lt;=0.001,0,(1/$F$9)*$B$30)</f>
        <v>33.333333333333336</v>
      </c>
      <c r="D48" s="38">
        <f t="shared" si="4"/>
        <v>399.99999999999955</v>
      </c>
      <c r="E48" s="38">
        <f>HLOOKUP($F$10,'WACOC-Tax Table'!$B$17:$E$58,A49)*$B$30</f>
        <v>44.61</v>
      </c>
      <c r="F48" s="38">
        <f t="shared" si="5"/>
        <v>111.53999999999986</v>
      </c>
      <c r="G48" s="38">
        <f>(E48-C48)*$F$11</f>
        <v>4.143865117199999</v>
      </c>
      <c r="H48" s="38">
        <f t="shared" si="6"/>
        <v>106.00112311919993</v>
      </c>
      <c r="I48" s="38">
        <f t="shared" si="7"/>
        <v>293.9988768807996</v>
      </c>
      <c r="J48" s="38">
        <f>'WACOC-Tax Table'!$D$11*I48</f>
        <v>5.022448669503122</v>
      </c>
      <c r="K48" s="38">
        <f>I48*('WACOC-Tax Table'!$D$12)</f>
        <v>17.366513657348836</v>
      </c>
      <c r="L48" s="38">
        <f>$F$14*$F$8*(1+$F$15)^A47</f>
        <v>0</v>
      </c>
      <c r="M48" s="38">
        <f>$F$12*D48</f>
        <v>0</v>
      </c>
      <c r="N48" s="38">
        <f>($F$11/(1-$F$11))*K48</f>
        <v>10.089232071435683</v>
      </c>
      <c r="O48" s="38">
        <f t="shared" si="0"/>
        <v>65.81152773162098</v>
      </c>
      <c r="P48" s="39">
        <f>1/(1+'WACOC-Tax Table'!$D$13)^A48</f>
        <v>0.2668492583208205</v>
      </c>
      <c r="Q48" s="41">
        <f t="shared" si="1"/>
        <v>17.561757364143173</v>
      </c>
      <c r="R48" s="38">
        <f t="shared" si="2"/>
        <v>1057.3816498612207</v>
      </c>
      <c r="S48" s="27">
        <f t="shared" si="3"/>
        <v>0.06581152773162098</v>
      </c>
      <c r="T48" s="35"/>
    </row>
    <row r="49" spans="1:20" ht="12.75">
      <c r="A49" s="2">
        <v>19</v>
      </c>
      <c r="C49" s="38">
        <f>IF(D48&lt;=0.001,0,(1/$F$9)*$B$30)</f>
        <v>33.333333333333336</v>
      </c>
      <c r="D49" s="38">
        <f t="shared" si="4"/>
        <v>366.66666666666623</v>
      </c>
      <c r="E49" s="38">
        <f>HLOOKUP($F$10,'WACOC-Tax Table'!$B$17:$E$58,A50)*$B$30</f>
        <v>44.62</v>
      </c>
      <c r="F49" s="38">
        <f t="shared" si="5"/>
        <v>66.91999999999987</v>
      </c>
      <c r="G49" s="38">
        <f>(E49-C49)*$F$11</f>
        <v>4.147539842399998</v>
      </c>
      <c r="H49" s="38">
        <f t="shared" si="6"/>
        <v>110.14866296159992</v>
      </c>
      <c r="I49" s="38">
        <f t="shared" si="7"/>
        <v>256.5180037050663</v>
      </c>
      <c r="J49" s="38">
        <f>'WACOC-Tax Table'!$D$11*I49</f>
        <v>4.3821545173264775</v>
      </c>
      <c r="K49" s="38">
        <f>I49*('WACOC-Tax Table'!$D$12)</f>
        <v>15.152518478858267</v>
      </c>
      <c r="L49" s="38">
        <f>$F$14*$F$8*(1+$F$15)^A48</f>
        <v>0</v>
      </c>
      <c r="M49" s="38">
        <f>$F$12*D49</f>
        <v>0</v>
      </c>
      <c r="N49" s="38">
        <f>($F$11/(1-$F$11))*K49</f>
        <v>8.802991689424488</v>
      </c>
      <c r="O49" s="38">
        <f t="shared" si="0"/>
        <v>61.67099801894257</v>
      </c>
      <c r="P49" s="39">
        <f>1/(1+'WACOC-Tax Table'!$D$13)^A49</f>
        <v>0.24796585873613528</v>
      </c>
      <c r="Q49" s="41">
        <f t="shared" si="1"/>
        <v>15.292301982881591</v>
      </c>
      <c r="R49" s="38">
        <f t="shared" si="2"/>
        <v>1072.6739518441022</v>
      </c>
      <c r="S49" s="27">
        <f t="shared" si="3"/>
        <v>0.06167099801894257</v>
      </c>
      <c r="T49" s="35"/>
    </row>
    <row r="50" spans="1:20" ht="12.75">
      <c r="A50" s="2">
        <v>20</v>
      </c>
      <c r="C50" s="38">
        <f>IF(D49&lt;=0.001,0,(1/$F$9)*$B$30)</f>
        <v>33.333333333333336</v>
      </c>
      <c r="D50" s="38">
        <f t="shared" si="4"/>
        <v>333.3333333333329</v>
      </c>
      <c r="E50" s="38">
        <f>HLOOKUP($F$10,'WACOC-Tax Table'!$B$17:$E$58,A51)*$B$30</f>
        <v>44.61</v>
      </c>
      <c r="F50" s="38">
        <f t="shared" si="5"/>
        <v>22.309999999999874</v>
      </c>
      <c r="G50" s="38">
        <f>(E50-C50)*$F$11</f>
        <v>4.143865117199999</v>
      </c>
      <c r="H50" s="38">
        <f t="shared" si="6"/>
        <v>114.29252807879992</v>
      </c>
      <c r="I50" s="38">
        <f t="shared" si="7"/>
        <v>219.04080525453298</v>
      </c>
      <c r="J50" s="38">
        <f>'WACOC-Tax Table'!$D$11*I50</f>
        <v>3.7419231413035643</v>
      </c>
      <c r="K50" s="38">
        <f>I50*('WACOC-Tax Table'!$D$12)</f>
        <v>12.938740366385264</v>
      </c>
      <c r="L50" s="38">
        <f>$F$14*$F$8*(1+$F$15)^A49</f>
        <v>0</v>
      </c>
      <c r="M50" s="38">
        <f>$F$12*D50</f>
        <v>0</v>
      </c>
      <c r="N50" s="38">
        <f>($F$11/(1-$F$11))*K50</f>
        <v>7.516877413865586</v>
      </c>
      <c r="O50" s="38">
        <f t="shared" si="0"/>
        <v>57.53087425488775</v>
      </c>
      <c r="P50" s="39">
        <f>1/(1+'WACOC-Tax Table'!$D$13)^A50</f>
        <v>0.2304187296066078</v>
      </c>
      <c r="Q50" s="41">
        <f t="shared" si="1"/>
        <v>13.256190958968734</v>
      </c>
      <c r="R50" s="38">
        <f t="shared" si="2"/>
        <v>1085.930142803071</v>
      </c>
      <c r="S50" s="27">
        <f t="shared" si="3"/>
        <v>0.057530874254887746</v>
      </c>
      <c r="T50" s="35"/>
    </row>
    <row r="51" spans="1:20" ht="12.75">
      <c r="A51" s="2">
        <v>21</v>
      </c>
      <c r="C51" s="38">
        <f>IF(D50&lt;=0.001,0,(1/$F$9)*$B$30)</f>
        <v>33.333333333333336</v>
      </c>
      <c r="D51" s="38">
        <f t="shared" si="4"/>
        <v>299.9999999999996</v>
      </c>
      <c r="E51" s="38">
        <f>HLOOKUP($F$10,'WACOC-Tax Table'!$B$17:$E$58,A52)*$B$30</f>
        <v>22.31</v>
      </c>
      <c r="F51" s="38">
        <f t="shared" si="5"/>
        <v>-1.2434497875801753E-13</v>
      </c>
      <c r="G51" s="38">
        <f>(E51-C51)*$F$11</f>
        <v>-4.050772078800001</v>
      </c>
      <c r="H51" s="38">
        <f t="shared" si="6"/>
        <v>110.24175599999992</v>
      </c>
      <c r="I51" s="38">
        <f t="shared" si="7"/>
        <v>189.75824399999968</v>
      </c>
      <c r="J51" s="38">
        <f>'WACOC-Tax Table'!$D$11*I51</f>
        <v>3.2416825880986506</v>
      </c>
      <c r="K51" s="38">
        <f>I51*('WACOC-Tax Table'!$D$12)</f>
        <v>11.209019473079982</v>
      </c>
      <c r="L51" s="38">
        <f>$F$14*$F$8*(1+$F$15)^A50</f>
        <v>0</v>
      </c>
      <c r="M51" s="38">
        <f>$F$12*D51</f>
        <v>0</v>
      </c>
      <c r="N51" s="38">
        <f>($F$11/(1-$F$11))*K51</f>
        <v>6.511980526919989</v>
      </c>
      <c r="O51" s="38">
        <f t="shared" si="0"/>
        <v>54.29601592143196</v>
      </c>
      <c r="P51" s="39">
        <f>1/(1+'WACOC-Tax Table'!$D$13)^A51</f>
        <v>0.2141133106958083</v>
      </c>
      <c r="Q51" s="41">
        <f t="shared" si="1"/>
        <v>11.625499726530116</v>
      </c>
      <c r="R51" s="38">
        <f t="shared" si="2"/>
        <v>1097.555642529601</v>
      </c>
      <c r="S51" s="27">
        <f t="shared" si="3"/>
        <v>0.05429601592143196</v>
      </c>
      <c r="T51" s="35"/>
    </row>
    <row r="52" spans="1:20" ht="12.75">
      <c r="A52" s="2">
        <v>22</v>
      </c>
      <c r="C52" s="38">
        <f>IF(D51&lt;=0.001,0,(1/$F$9)*$B$30)</f>
        <v>33.333333333333336</v>
      </c>
      <c r="D52" s="38">
        <f t="shared" si="4"/>
        <v>266.6666666666663</v>
      </c>
      <c r="E52" s="38">
        <f>HLOOKUP($F$10,'WACOC-Tax Table'!$B$17:$E$58,A53)*$B$30</f>
        <v>0</v>
      </c>
      <c r="F52" s="38">
        <f t="shared" si="5"/>
        <v>-1.2434497875801753E-13</v>
      </c>
      <c r="G52" s="38">
        <f>(E52-C52)*$F$11</f>
        <v>-12.249084</v>
      </c>
      <c r="H52" s="38">
        <f t="shared" si="6"/>
        <v>97.99267199999993</v>
      </c>
      <c r="I52" s="38">
        <f t="shared" si="7"/>
        <v>168.67399466666637</v>
      </c>
      <c r="J52" s="38">
        <f>'WACOC-Tax Table'!$D$11*I52</f>
        <v>2.8814956338654674</v>
      </c>
      <c r="K52" s="38">
        <f>I52*('WACOC-Tax Table'!$D$12)</f>
        <v>9.963572864959984</v>
      </c>
      <c r="L52" s="38">
        <f>$F$14*$F$8*(1+$F$15)^A51</f>
        <v>0</v>
      </c>
      <c r="M52" s="38">
        <f>$F$12*D52</f>
        <v>0</v>
      </c>
      <c r="N52" s="38">
        <f>($F$11/(1-$F$11))*K52</f>
        <v>5.78842713503999</v>
      </c>
      <c r="O52" s="38">
        <f t="shared" si="0"/>
        <v>51.96682896719878</v>
      </c>
      <c r="P52" s="39">
        <f>1/(1+'WACOC-Tax Table'!$D$13)^A52</f>
        <v>0.19896173325575459</v>
      </c>
      <c r="Q52" s="41">
        <f t="shared" si="1"/>
        <v>10.339410363119224</v>
      </c>
      <c r="R52" s="38">
        <f t="shared" si="2"/>
        <v>1107.8950528927203</v>
      </c>
      <c r="S52" s="27">
        <f t="shared" si="3"/>
        <v>0.05196682896719878</v>
      </c>
      <c r="T52" s="35"/>
    </row>
    <row r="53" spans="1:20" ht="12.75">
      <c r="A53" s="2">
        <v>23</v>
      </c>
      <c r="C53" s="38">
        <f>IF(D52&lt;=0.001,0,(1/$F$9)*$B$30)</f>
        <v>33.333333333333336</v>
      </c>
      <c r="D53" s="38">
        <f t="shared" si="4"/>
        <v>233.33333333333294</v>
      </c>
      <c r="E53" s="38">
        <f>HLOOKUP($F$10,'WACOC-Tax Table'!$B$17:$E$58,A54)*$B$30</f>
        <v>0</v>
      </c>
      <c r="F53" s="38">
        <f t="shared" si="5"/>
        <v>-1.2434497875801753E-13</v>
      </c>
      <c r="G53" s="38">
        <f>(E53-C53)*$F$11</f>
        <v>-12.249084</v>
      </c>
      <c r="H53" s="38">
        <f t="shared" si="6"/>
        <v>85.74358799999993</v>
      </c>
      <c r="I53" s="38">
        <f t="shared" si="7"/>
        <v>147.589745333333</v>
      </c>
      <c r="J53" s="38">
        <f>'WACOC-Tax Table'!$D$11*I53</f>
        <v>2.521308679632283</v>
      </c>
      <c r="K53" s="38">
        <f>I53*('WACOC-Tax Table'!$D$12)</f>
        <v>8.718126256839982</v>
      </c>
      <c r="L53" s="38">
        <f>$F$14*$F$8*(1+$F$15)^A52</f>
        <v>0</v>
      </c>
      <c r="M53" s="38">
        <f>$F$12*D53</f>
        <v>0</v>
      </c>
      <c r="N53" s="38">
        <f>($F$11/(1-$F$11))*K53</f>
        <v>5.064873743159989</v>
      </c>
      <c r="O53" s="38">
        <f t="shared" si="0"/>
        <v>49.637642012965586</v>
      </c>
      <c r="P53" s="39">
        <f>1/(1+'WACOC-Tax Table'!$D$13)^A53</f>
        <v>0.1848823465084509</v>
      </c>
      <c r="Q53" s="41">
        <f t="shared" si="1"/>
        <v>9.177123730503544</v>
      </c>
      <c r="R53" s="38">
        <f t="shared" si="2"/>
        <v>1117.0721766232239</v>
      </c>
      <c r="S53" s="27">
        <f t="shared" si="3"/>
        <v>0.04963764201296558</v>
      </c>
      <c r="T53" s="35"/>
    </row>
    <row r="54" spans="1:20" ht="12.75">
      <c r="A54" s="2">
        <v>24</v>
      </c>
      <c r="C54" s="38">
        <f>IF(D53&lt;=0.001,0,(1/$F$9)*$B$30)</f>
        <v>33.333333333333336</v>
      </c>
      <c r="D54" s="38">
        <f t="shared" si="4"/>
        <v>199.9999999999996</v>
      </c>
      <c r="E54" s="38">
        <f>HLOOKUP($F$10,'WACOC-Tax Table'!$B$17:$E$58,A55)*$B$30</f>
        <v>0</v>
      </c>
      <c r="F54" s="38">
        <f t="shared" si="5"/>
        <v>-1.2434497875801753E-13</v>
      </c>
      <c r="G54" s="38">
        <f>(E54-C54)*$F$11</f>
        <v>-12.249084</v>
      </c>
      <c r="H54" s="38">
        <f t="shared" si="6"/>
        <v>73.49450399999994</v>
      </c>
      <c r="I54" s="38">
        <f t="shared" si="7"/>
        <v>126.50549599999967</v>
      </c>
      <c r="J54" s="38">
        <f>'WACOC-Tax Table'!$D$11*I54</f>
        <v>2.1611217253990986</v>
      </c>
      <c r="K54" s="38">
        <f>I54*('WACOC-Tax Table'!$D$12)</f>
        <v>7.472679648719981</v>
      </c>
      <c r="L54" s="38">
        <f>$F$14*$F$8*(1+$F$15)^A53</f>
        <v>0</v>
      </c>
      <c r="M54" s="38">
        <f>$F$12*D54</f>
        <v>0</v>
      </c>
      <c r="N54" s="38">
        <f>($F$11/(1-$F$11))*K54</f>
        <v>4.341320351279989</v>
      </c>
      <c r="O54" s="38">
        <f t="shared" si="0"/>
        <v>47.308455058732406</v>
      </c>
      <c r="P54" s="39">
        <f>1/(1+'WACOC-Tax Table'!$D$13)^A54</f>
        <v>0.1717992776356268</v>
      </c>
      <c r="Q54" s="41">
        <f t="shared" si="1"/>
        <v>8.127558405147742</v>
      </c>
      <c r="R54" s="38">
        <f t="shared" si="2"/>
        <v>1125.1997350283716</v>
      </c>
      <c r="S54" s="27">
        <f t="shared" si="3"/>
        <v>0.04730845505873241</v>
      </c>
      <c r="T54" s="35"/>
    </row>
    <row r="55" spans="1:20" ht="12.75">
      <c r="A55" s="2">
        <v>25</v>
      </c>
      <c r="C55" s="38">
        <f>IF(D54&lt;=0.001,0,(1/$F$9)*$B$30)</f>
        <v>33.333333333333336</v>
      </c>
      <c r="D55" s="38">
        <f t="shared" si="4"/>
        <v>166.66666666666626</v>
      </c>
      <c r="E55" s="38">
        <f>HLOOKUP($F$10,'WACOC-Tax Table'!$B$17:$E$58,A56)*$B$30</f>
        <v>0</v>
      </c>
      <c r="F55" s="38">
        <f t="shared" si="5"/>
        <v>-1.2434497875801753E-13</v>
      </c>
      <c r="G55" s="38">
        <f>(E55-C55)*$F$11</f>
        <v>-12.249084</v>
      </c>
      <c r="H55" s="38">
        <f t="shared" si="6"/>
        <v>61.24541999999994</v>
      </c>
      <c r="I55" s="38">
        <f t="shared" si="7"/>
        <v>105.42124666666632</v>
      </c>
      <c r="J55" s="38">
        <f>'WACOC-Tax Table'!$D$11*I55</f>
        <v>1.8009347711659143</v>
      </c>
      <c r="K55" s="38">
        <f>I55*('WACOC-Tax Table'!$D$12)</f>
        <v>6.22723304059998</v>
      </c>
      <c r="L55" s="38">
        <f>$F$14*$F$8*(1+$F$15)^A54</f>
        <v>0</v>
      </c>
      <c r="M55" s="38">
        <f>$F$12*D55</f>
        <v>0</v>
      </c>
      <c r="N55" s="38">
        <f>($F$11/(1-$F$11))*K55</f>
        <v>3.6177669593999884</v>
      </c>
      <c r="O55" s="38">
        <f t="shared" si="0"/>
        <v>44.97926810449921</v>
      </c>
      <c r="P55" s="39">
        <f>1/(1+'WACOC-Tax Table'!$D$13)^A55</f>
        <v>0.15964202290549176</v>
      </c>
      <c r="Q55" s="41">
        <f t="shared" si="1"/>
        <v>7.180581349010718</v>
      </c>
      <c r="R55" s="38">
        <f t="shared" si="2"/>
        <v>1132.3803163773823</v>
      </c>
      <c r="S55" s="27">
        <f t="shared" si="3"/>
        <v>0.04497926810449921</v>
      </c>
      <c r="T55" s="35"/>
    </row>
    <row r="56" spans="1:20" ht="12.75">
      <c r="A56" s="2">
        <v>26</v>
      </c>
      <c r="C56" s="38">
        <f>IF(D55&lt;=0.001,0,(1/$F$9)*$B$30)</f>
        <v>33.333333333333336</v>
      </c>
      <c r="D56" s="38">
        <f t="shared" si="4"/>
        <v>133.33333333333292</v>
      </c>
      <c r="E56" s="38">
        <f>HLOOKUP($F$10,'WACOC-Tax Table'!$B$17:$E$58,A57)*$B$30</f>
        <v>0</v>
      </c>
      <c r="F56" s="38">
        <f t="shared" si="5"/>
        <v>-1.2434497875801753E-13</v>
      </c>
      <c r="G56" s="38">
        <f>(E56-C56)*$F$11</f>
        <v>-12.249084</v>
      </c>
      <c r="H56" s="38">
        <f t="shared" si="6"/>
        <v>48.99633599999994</v>
      </c>
      <c r="I56" s="38">
        <f t="shared" si="7"/>
        <v>84.33699733333297</v>
      </c>
      <c r="J56" s="38">
        <f>'WACOC-Tax Table'!$D$11*I56</f>
        <v>1.44074781693273</v>
      </c>
      <c r="K56" s="38">
        <f>I56*('WACOC-Tax Table'!$D$12)</f>
        <v>4.981786432479979</v>
      </c>
      <c r="L56" s="38">
        <f>$F$14*$F$8*(1+$F$15)^A55</f>
        <v>0</v>
      </c>
      <c r="M56" s="38">
        <f>$F$12*D56</f>
        <v>0</v>
      </c>
      <c r="N56" s="38">
        <f>($F$11/(1-$F$11))*K56</f>
        <v>2.894213567519988</v>
      </c>
      <c r="O56" s="38">
        <f t="shared" si="0"/>
        <v>42.65008115026603</v>
      </c>
      <c r="P56" s="39">
        <f>1/(1+'WACOC-Tax Table'!$D$13)^A56</f>
        <v>0.14834506773311654</v>
      </c>
      <c r="Q56" s="41">
        <f t="shared" si="1"/>
        <v>6.326929177059132</v>
      </c>
      <c r="R56" s="38">
        <f t="shared" si="2"/>
        <v>1138.7072455544414</v>
      </c>
      <c r="S56" s="27">
        <f t="shared" si="3"/>
        <v>0.042650081150266035</v>
      </c>
      <c r="T56" s="35"/>
    </row>
    <row r="57" spans="1:20" ht="12.75">
      <c r="A57" s="2">
        <v>27</v>
      </c>
      <c r="C57" s="38">
        <f>IF(D56&lt;=0.001,0,(1/$F$9)*$B$30)</f>
        <v>33.333333333333336</v>
      </c>
      <c r="D57" s="38">
        <f t="shared" si="4"/>
        <v>99.99999999999957</v>
      </c>
      <c r="E57" s="38">
        <f>HLOOKUP($F$10,'WACOC-Tax Table'!$B$17:$E$58,A58)*$B$30</f>
        <v>0</v>
      </c>
      <c r="F57" s="38">
        <f t="shared" si="5"/>
        <v>-1.2434497875801753E-13</v>
      </c>
      <c r="G57" s="38">
        <f>(E57-C57)*$F$11</f>
        <v>-12.249084</v>
      </c>
      <c r="H57" s="38">
        <f t="shared" si="6"/>
        <v>36.747251999999946</v>
      </c>
      <c r="I57" s="38">
        <f t="shared" si="7"/>
        <v>63.25274799999963</v>
      </c>
      <c r="J57" s="38">
        <f>'WACOC-Tax Table'!$D$11*I57</f>
        <v>1.0805608626995458</v>
      </c>
      <c r="K57" s="38">
        <f>I57*('WACOC-Tax Table'!$D$12)</f>
        <v>3.736339824359978</v>
      </c>
      <c r="L57" s="38">
        <f>$F$14*$F$8*(1+$F$15)^A56</f>
        <v>0</v>
      </c>
      <c r="M57" s="38">
        <f>$F$12*D57</f>
        <v>0</v>
      </c>
      <c r="N57" s="38">
        <f>($F$11/(1-$F$11))*K57</f>
        <v>2.1706601756399873</v>
      </c>
      <c r="O57" s="38">
        <f t="shared" si="0"/>
        <v>40.32089419603285</v>
      </c>
      <c r="P57" s="39">
        <f>1/(1+'WACOC-Tax Table'!$D$13)^A57</f>
        <v>0.13784753362697405</v>
      </c>
      <c r="Q57" s="41">
        <f t="shared" si="1"/>
        <v>5.558135818557301</v>
      </c>
      <c r="R57" s="38">
        <f t="shared" si="2"/>
        <v>1144.2653813729987</v>
      </c>
      <c r="S57" s="27">
        <f t="shared" si="3"/>
        <v>0.04032089419603285</v>
      </c>
      <c r="T57" s="35"/>
    </row>
    <row r="58" spans="1:20" ht="12.75">
      <c r="A58" s="2">
        <v>28</v>
      </c>
      <c r="C58" s="38">
        <f>IF(D57&lt;=0.001,0,(1/$F$9)*$B$30)</f>
        <v>33.333333333333336</v>
      </c>
      <c r="D58" s="38">
        <f t="shared" si="4"/>
        <v>66.66666666666623</v>
      </c>
      <c r="E58" s="38">
        <f>HLOOKUP($F$10,'WACOC-Tax Table'!$B$17:$E$58,A59)*$B$30</f>
        <v>0</v>
      </c>
      <c r="F58" s="38">
        <f t="shared" si="5"/>
        <v>-1.2434497875801753E-13</v>
      </c>
      <c r="G58" s="38">
        <f>(E58-C58)*$F$11</f>
        <v>-12.249084</v>
      </c>
      <c r="H58" s="38">
        <f t="shared" si="6"/>
        <v>24.498167999999946</v>
      </c>
      <c r="I58" s="38">
        <f t="shared" si="7"/>
        <v>42.16849866666628</v>
      </c>
      <c r="J58" s="38">
        <f>'WACOC-Tax Table'!$D$11*I58</f>
        <v>0.7203739084663614</v>
      </c>
      <c r="K58" s="38">
        <f>I58*('WACOC-Tax Table'!$D$12)</f>
        <v>2.4908932162399773</v>
      </c>
      <c r="L58" s="38">
        <f>$F$14*$F$8*(1+$F$15)^A57</f>
        <v>0</v>
      </c>
      <c r="M58" s="38">
        <f>$F$12*D58</f>
        <v>0</v>
      </c>
      <c r="N58" s="38">
        <f>($F$11/(1-$F$11))*K58</f>
        <v>1.4471067837599867</v>
      </c>
      <c r="O58" s="38">
        <f t="shared" si="0"/>
        <v>37.99170724179966</v>
      </c>
      <c r="P58" s="39">
        <f>1/(1+'WACOC-Tax Table'!$D$13)^A58</f>
        <v>0.1280928501190589</v>
      </c>
      <c r="Q58" s="41">
        <f t="shared" si="1"/>
        <v>4.866466061491009</v>
      </c>
      <c r="R58" s="38">
        <f t="shared" si="2"/>
        <v>1149.1318474344898</v>
      </c>
      <c r="S58" s="27">
        <f t="shared" si="3"/>
        <v>0.037991707241799656</v>
      </c>
      <c r="T58" s="35"/>
    </row>
    <row r="59" spans="1:20" ht="12.75">
      <c r="A59" s="2">
        <v>29</v>
      </c>
      <c r="C59" s="38">
        <f>IF(D58&lt;=0.001,0,(1/$F$9)*$B$30)</f>
        <v>33.333333333333336</v>
      </c>
      <c r="D59" s="38">
        <f t="shared" si="4"/>
        <v>33.333333333332895</v>
      </c>
      <c r="E59" s="38">
        <f>HLOOKUP($F$10,'WACOC-Tax Table'!$B$17:$E$58,A60)*$B$30</f>
        <v>0</v>
      </c>
      <c r="F59" s="38">
        <f t="shared" si="5"/>
        <v>-1.2434497875801753E-13</v>
      </c>
      <c r="G59" s="38">
        <f>(E59-C59)*$F$11</f>
        <v>-12.249084</v>
      </c>
      <c r="H59" s="38">
        <f t="shared" si="6"/>
        <v>12.249083999999947</v>
      </c>
      <c r="I59" s="38">
        <f t="shared" si="7"/>
        <v>21.08424933333295</v>
      </c>
      <c r="J59" s="38">
        <f>'WACOC-Tax Table'!$D$11*I59</f>
        <v>0.3601869542331774</v>
      </c>
      <c r="K59" s="38">
        <f>I59*('WACOC-Tax Table'!$D$12)</f>
        <v>1.2454466081199773</v>
      </c>
      <c r="L59" s="38">
        <f>$F$14*$F$8*(1+$F$15)^A58</f>
        <v>0</v>
      </c>
      <c r="M59" s="38">
        <f>$F$12*D59</f>
        <v>0</v>
      </c>
      <c r="N59" s="38">
        <f>($F$11/(1-$F$11))*K59</f>
        <v>0.7235533918799868</v>
      </c>
      <c r="O59" s="38">
        <f t="shared" si="0"/>
        <v>35.66252028756648</v>
      </c>
      <c r="P59" s="39">
        <f>1/(1+'WACOC-Tax Table'!$D$13)^A59</f>
        <v>0.11902844991064108</v>
      </c>
      <c r="Q59" s="41">
        <f t="shared" si="1"/>
        <v>4.244854509735828</v>
      </c>
      <c r="R59" s="38">
        <f t="shared" si="2"/>
        <v>1153.3767019442257</v>
      </c>
      <c r="S59" s="27">
        <f t="shared" si="3"/>
        <v>0.03566252028756648</v>
      </c>
      <c r="T59" s="35"/>
    </row>
    <row r="60" spans="1:20" ht="12.75">
      <c r="A60" s="2">
        <v>30</v>
      </c>
      <c r="C60" s="38">
        <f>IF(D59&lt;=0.001,0,(1/$F$9)*$B$30)</f>
        <v>33.333333333333336</v>
      </c>
      <c r="D60" s="38">
        <f t="shared" si="4"/>
        <v>-4.405364961712621E-13</v>
      </c>
      <c r="E60" s="38">
        <f>HLOOKUP($F$10,'WACOC-Tax Table'!$B$17:$E$58,A61)*$B$30</f>
        <v>0</v>
      </c>
      <c r="F60" s="38">
        <f t="shared" si="5"/>
        <v>-1.2434497875801753E-13</v>
      </c>
      <c r="G60" s="38">
        <f>(E60-C60)*$F$11</f>
        <v>-12.249084</v>
      </c>
      <c r="H60" s="38">
        <f t="shared" si="6"/>
        <v>-5.3290705182007514E-14</v>
      </c>
      <c r="I60" s="38">
        <f t="shared" si="7"/>
        <v>-3.872457909892546E-13</v>
      </c>
      <c r="J60" s="38">
        <f>'WACOC-Tax Table'!$D$11*I60</f>
        <v>-6.615406590526618E-15</v>
      </c>
      <c r="K60" s="38">
        <f>I60*('WACOC-Tax Table'!$D$12)</f>
        <v>-2.2874608873735272E-14</v>
      </c>
      <c r="L60" s="38">
        <f>$F$14*$F$8*(1+$F$15)^A59</f>
        <v>0</v>
      </c>
      <c r="M60" s="38">
        <f>$F$12*D60</f>
        <v>0</v>
      </c>
      <c r="N60" s="38">
        <f>($F$11/(1-$F$11))*K60</f>
        <v>-1.328920945354953E-14</v>
      </c>
      <c r="O60" s="38">
        <f t="shared" si="0"/>
        <v>33.33333333333329</v>
      </c>
      <c r="P60" s="39">
        <f>1/(1+'WACOC-Tax Table'!$D$13)^A60</f>
        <v>0.11060548559081497</v>
      </c>
      <c r="Q60" s="41">
        <f t="shared" si="1"/>
        <v>3.686849519693828</v>
      </c>
      <c r="R60" s="38">
        <f t="shared" si="2"/>
        <v>1157.0635514639196</v>
      </c>
      <c r="S60" s="27">
        <f t="shared" si="3"/>
        <v>0.03333333333333329</v>
      </c>
      <c r="T60" s="35"/>
    </row>
    <row r="61" spans="1:20" ht="12.75" hidden="1">
      <c r="A61" s="2">
        <v>31</v>
      </c>
      <c r="C61" s="38">
        <f>IF(D60&lt;=0.001,0,(1/$F$9)*$B$30)</f>
        <v>0</v>
      </c>
      <c r="D61" s="38">
        <f t="shared" si="4"/>
        <v>-4.405364961712621E-13</v>
      </c>
      <c r="E61" s="32">
        <f>HLOOKUP($F$10,'WACOC-Tax Table'!$B$17:$E$58,A62)*$B$30</f>
        <v>0</v>
      </c>
      <c r="F61" s="38">
        <f t="shared" si="5"/>
        <v>-1.2434497875801753E-13</v>
      </c>
      <c r="G61" s="32">
        <f>(E61-C61)*$F$11</f>
        <v>0</v>
      </c>
      <c r="H61" s="34">
        <f t="shared" si="6"/>
        <v>-5.3290705182007514E-14</v>
      </c>
      <c r="I61" s="34">
        <f aca="true" t="shared" si="8" ref="I61:I70">D61</f>
        <v>-4.405364961712621E-13</v>
      </c>
      <c r="J61" s="17">
        <f>'WACOC-Tax Table'!$D$11*I61</f>
        <v>-7.525783644268814E-15</v>
      </c>
      <c r="K61" s="38">
        <f>I61*('WACOC-Tax Table'!$D$12)</f>
        <v>-2.6022490828836456E-14</v>
      </c>
      <c r="L61" s="32">
        <f>$F$14*$F$8*(1+$F$15)^A60</f>
        <v>0</v>
      </c>
      <c r="M61" s="34">
        <f>$F$12*D61</f>
        <v>0</v>
      </c>
      <c r="N61" s="38">
        <f>($F$11/(1-$F$11))*K61</f>
        <v>-1.51179997453224E-14</v>
      </c>
      <c r="O61" s="32">
        <f t="shared" si="0"/>
        <v>-4.866627421842767E-14</v>
      </c>
      <c r="P61" s="42">
        <f>1/(1+'WACOC-Tax Table'!$D$13)^A61</f>
        <v>0.10277856640126087</v>
      </c>
      <c r="Q61" s="40">
        <f t="shared" si="1"/>
        <v>-5.001849896260638E-15</v>
      </c>
      <c r="R61" s="34">
        <f t="shared" si="2"/>
        <v>1157.0635514639196</v>
      </c>
      <c r="S61" s="27">
        <f t="shared" si="3"/>
        <v>-4.8666274218427667E-17</v>
      </c>
      <c r="T61" s="35"/>
    </row>
    <row r="62" spans="1:20" ht="12.75" hidden="1">
      <c r="A62" s="2">
        <v>32</v>
      </c>
      <c r="C62" s="38">
        <f>IF(D61&lt;=0.001,0,(1/$F$9)*$B$30)</f>
        <v>0</v>
      </c>
      <c r="D62" s="38">
        <f t="shared" si="4"/>
        <v>-4.405364961712621E-13</v>
      </c>
      <c r="E62" s="32">
        <f>HLOOKUP($F$10,'WACOC-Tax Table'!$B$17:$E$58,A63)*$B$30</f>
        <v>0</v>
      </c>
      <c r="F62" s="38">
        <f t="shared" si="5"/>
        <v>-1.2434497875801753E-13</v>
      </c>
      <c r="G62" s="32">
        <f>(E62-C62)*$F$11</f>
        <v>0</v>
      </c>
      <c r="H62" s="34">
        <f t="shared" si="6"/>
        <v>-5.3290705182007514E-14</v>
      </c>
      <c r="I62" s="34">
        <f t="shared" si="8"/>
        <v>-4.405364961712621E-13</v>
      </c>
      <c r="J62" s="17">
        <f>'WACOC-Tax Table'!$D$11*I62</f>
        <v>-7.525783644268814E-15</v>
      </c>
      <c r="K62" s="38">
        <f>I62*('WACOC-Tax Table'!$D$12)</f>
        <v>-2.6022490828836456E-14</v>
      </c>
      <c r="L62" s="32">
        <f>$F$14*$F$8*(1+$F$15)^A61</f>
        <v>0</v>
      </c>
      <c r="M62" s="34">
        <f>$F$12*D62</f>
        <v>0</v>
      </c>
      <c r="N62" s="38">
        <f>($F$11/(1-$F$11))*K62</f>
        <v>-1.51179997453224E-14</v>
      </c>
      <c r="O62" s="32">
        <f t="shared" si="0"/>
        <v>-4.866627421842767E-14</v>
      </c>
      <c r="P62" s="42">
        <f>1/(1+'WACOC-Tax Table'!$D$13)^A62</f>
        <v>0.09550551362866229</v>
      </c>
      <c r="Q62" s="40">
        <f t="shared" si="1"/>
        <v>-4.64789751562426E-15</v>
      </c>
      <c r="R62" s="34">
        <f t="shared" si="2"/>
        <v>1157.0635514639196</v>
      </c>
      <c r="S62" s="27">
        <f t="shared" si="3"/>
        <v>-4.8666274218427667E-17</v>
      </c>
      <c r="T62" s="35"/>
    </row>
    <row r="63" spans="1:20" ht="12.75" hidden="1">
      <c r="A63" s="2">
        <v>33</v>
      </c>
      <c r="C63" s="38">
        <f>IF(D62&lt;=0.001,0,(1/$F$9)*$B$30)</f>
        <v>0</v>
      </c>
      <c r="D63" s="38">
        <f t="shared" si="4"/>
        <v>-4.405364961712621E-13</v>
      </c>
      <c r="E63" s="32">
        <f>HLOOKUP($F$10,'WACOC-Tax Table'!$B$17:$E$58,A64)*$B$30</f>
        <v>0</v>
      </c>
      <c r="F63" s="38">
        <f t="shared" si="5"/>
        <v>-1.2434497875801753E-13</v>
      </c>
      <c r="G63" s="32">
        <f>(E63-C63)*$F$11</f>
        <v>0</v>
      </c>
      <c r="H63" s="34">
        <f t="shared" si="6"/>
        <v>-5.3290705182007514E-14</v>
      </c>
      <c r="I63" s="34">
        <f t="shared" si="8"/>
        <v>-4.405364961712621E-13</v>
      </c>
      <c r="J63" s="17">
        <f>'WACOC-Tax Table'!$D$11*I63</f>
        <v>-7.525783644268814E-15</v>
      </c>
      <c r="K63" s="38">
        <f>I63*('WACOC-Tax Table'!$D$12)</f>
        <v>-2.6022490828836456E-14</v>
      </c>
      <c r="L63" s="32">
        <f>$F$14*$F$8*(1+$F$15)^A62</f>
        <v>0</v>
      </c>
      <c r="M63" s="34">
        <f>$F$12*D63</f>
        <v>0</v>
      </c>
      <c r="N63" s="38">
        <f>($F$11/(1-$F$11))*K63</f>
        <v>-1.51179997453224E-14</v>
      </c>
      <c r="O63" s="32">
        <f t="shared" si="0"/>
        <v>-4.866627421842767E-14</v>
      </c>
      <c r="P63" s="42">
        <f>1/(1+'WACOC-Tax Table'!$D$13)^A63</f>
        <v>0.08874713330660643</v>
      </c>
      <c r="Q63" s="40">
        <f t="shared" si="1"/>
        <v>-4.318992325598664E-15</v>
      </c>
      <c r="R63" s="34">
        <f t="shared" si="2"/>
        <v>1157.0635514639196</v>
      </c>
      <c r="S63" s="27">
        <f t="shared" si="3"/>
        <v>-4.8666274218427667E-17</v>
      </c>
      <c r="T63" s="35"/>
    </row>
    <row r="64" spans="1:20" ht="12.75" hidden="1">
      <c r="A64" s="2">
        <v>34</v>
      </c>
      <c r="C64" s="38">
        <f>IF(D63&lt;=0.001,0,(1/$F$9)*$B$30)</f>
        <v>0</v>
      </c>
      <c r="D64" s="38">
        <f t="shared" si="4"/>
        <v>-4.405364961712621E-13</v>
      </c>
      <c r="E64" s="32">
        <f>HLOOKUP($F$10,'WACOC-Tax Table'!$B$17:$E$58,A65)*$B$30</f>
        <v>0</v>
      </c>
      <c r="F64" s="38">
        <f t="shared" si="5"/>
        <v>-1.2434497875801753E-13</v>
      </c>
      <c r="G64" s="32">
        <f>(E64-C64)*$F$11</f>
        <v>0</v>
      </c>
      <c r="H64" s="34">
        <f t="shared" si="6"/>
        <v>-5.3290705182007514E-14</v>
      </c>
      <c r="I64" s="34">
        <f t="shared" si="8"/>
        <v>-4.405364961712621E-13</v>
      </c>
      <c r="J64" s="17">
        <f>'WACOC-Tax Table'!$D$11*I64</f>
        <v>-7.525783644268814E-15</v>
      </c>
      <c r="K64" s="38">
        <f>I64*('WACOC-Tax Table'!$D$12)</f>
        <v>-2.6022490828836456E-14</v>
      </c>
      <c r="L64" s="32">
        <f>$F$14*$F$8*(1+$F$15)^A63</f>
        <v>0</v>
      </c>
      <c r="M64" s="34">
        <f>$F$12*D64</f>
        <v>0</v>
      </c>
      <c r="N64" s="38">
        <f>($F$11/(1-$F$11))*K64</f>
        <v>-1.51179997453224E-14</v>
      </c>
      <c r="O64" s="32">
        <f t="shared" si="0"/>
        <v>-4.866627421842767E-14</v>
      </c>
      <c r="P64" s="42">
        <f>1/(1+'WACOC-Tax Table'!$D$13)^A64</f>
        <v>0.08246700500207434</v>
      </c>
      <c r="Q64" s="40">
        <f t="shared" si="1"/>
        <v>-4.013361879403396E-15</v>
      </c>
      <c r="R64" s="34">
        <f t="shared" si="2"/>
        <v>1157.0635514639196</v>
      </c>
      <c r="S64" s="27">
        <f t="shared" si="3"/>
        <v>-4.8666274218427667E-17</v>
      </c>
      <c r="T64" s="35"/>
    </row>
    <row r="65" spans="1:20" ht="12.75" hidden="1">
      <c r="A65" s="2">
        <v>35</v>
      </c>
      <c r="C65" s="38">
        <f>IF(D64&lt;=0.001,0,(1/$F$9)*$B$30)</f>
        <v>0</v>
      </c>
      <c r="D65" s="38">
        <f t="shared" si="4"/>
        <v>-4.405364961712621E-13</v>
      </c>
      <c r="E65" s="32">
        <f>HLOOKUP($F$10,'WACOC-Tax Table'!$B$17:$E$58,A66)*$B$30</f>
        <v>0</v>
      </c>
      <c r="F65" s="38">
        <f t="shared" si="5"/>
        <v>-1.2434497875801753E-13</v>
      </c>
      <c r="G65" s="32">
        <f>(E65-C65)*$F$11</f>
        <v>0</v>
      </c>
      <c r="H65" s="34">
        <f t="shared" si="6"/>
        <v>-5.3290705182007514E-14</v>
      </c>
      <c r="I65" s="34">
        <f t="shared" si="8"/>
        <v>-4.405364961712621E-13</v>
      </c>
      <c r="J65" s="17">
        <f>'WACOC-Tax Table'!$D$11*I65</f>
        <v>-7.525783644268814E-15</v>
      </c>
      <c r="K65" s="38">
        <f>I65*('WACOC-Tax Table'!$D$12)</f>
        <v>-2.6022490828836456E-14</v>
      </c>
      <c r="L65" s="32">
        <f>$F$14*$F$8*(1+$F$15)^A64</f>
        <v>0</v>
      </c>
      <c r="M65" s="34">
        <f>$F$12*D65</f>
        <v>0</v>
      </c>
      <c r="N65" s="38">
        <f>($F$11/(1-$F$11))*K65</f>
        <v>-1.51179997453224E-14</v>
      </c>
      <c r="O65" s="32">
        <f t="shared" si="0"/>
        <v>-4.866627421842767E-14</v>
      </c>
      <c r="P65" s="42">
        <f>1/(1+'WACOC-Tax Table'!$D$13)^A65</f>
        <v>0.07663128554830621</v>
      </c>
      <c r="Q65" s="40">
        <f t="shared" si="1"/>
        <v>-3.7293591562045035E-15</v>
      </c>
      <c r="R65" s="34">
        <f t="shared" si="2"/>
        <v>1157.0635514639196</v>
      </c>
      <c r="S65" s="27">
        <f t="shared" si="3"/>
        <v>-4.8666274218427667E-17</v>
      </c>
      <c r="T65" s="35"/>
    </row>
    <row r="66" spans="1:20" ht="12.75" hidden="1">
      <c r="A66" s="2">
        <v>36</v>
      </c>
      <c r="C66" s="38">
        <f>IF(D65&lt;=0.001,0,(1/$F$9)*$B$30)</f>
        <v>0</v>
      </c>
      <c r="D66" s="38">
        <f t="shared" si="4"/>
        <v>-4.405364961712621E-13</v>
      </c>
      <c r="E66" s="32">
        <f>HLOOKUP($F$10,'WACOC-Tax Table'!$B$17:$E$58,A67)*$B$30</f>
        <v>0</v>
      </c>
      <c r="F66" s="38">
        <f t="shared" si="5"/>
        <v>-1.2434497875801753E-13</v>
      </c>
      <c r="G66" s="32">
        <f>(E66-C66)*$F$11</f>
        <v>0</v>
      </c>
      <c r="H66" s="34">
        <f t="shared" si="6"/>
        <v>-5.3290705182007514E-14</v>
      </c>
      <c r="I66" s="34">
        <f t="shared" si="8"/>
        <v>-4.405364961712621E-13</v>
      </c>
      <c r="J66" s="17">
        <f>'WACOC-Tax Table'!$D$11*I66</f>
        <v>-7.525783644268814E-15</v>
      </c>
      <c r="K66" s="38">
        <f>I66*('WACOC-Tax Table'!$D$12)</f>
        <v>-2.6022490828836456E-14</v>
      </c>
      <c r="L66" s="38">
        <v>0</v>
      </c>
      <c r="M66" s="34">
        <f>$F$12*D66</f>
        <v>0</v>
      </c>
      <c r="N66" s="38">
        <f>($F$11/(1-$F$11))*K66</f>
        <v>-1.51179997453224E-14</v>
      </c>
      <c r="O66" s="32">
        <f t="shared" si="0"/>
        <v>-4.866627421842767E-14</v>
      </c>
      <c r="P66" s="42">
        <f>1/(1+'WACOC-Tax Table'!$D$13)^A66</f>
        <v>0.071208526666372</v>
      </c>
      <c r="Q66" s="40">
        <f t="shared" si="1"/>
        <v>-3.4654536854358785E-15</v>
      </c>
      <c r="R66" s="34">
        <f t="shared" si="2"/>
        <v>1157.0635514639196</v>
      </c>
      <c r="S66" s="27">
        <f t="shared" si="3"/>
        <v>-4.8666274218427667E-17</v>
      </c>
      <c r="T66" s="21"/>
    </row>
    <row r="67" spans="1:20" ht="12.75" hidden="1">
      <c r="A67" s="2">
        <v>37</v>
      </c>
      <c r="C67" s="38">
        <f>IF(D66&lt;=0.001,0,(1/$F$9)*$B$30)</f>
        <v>0</v>
      </c>
      <c r="D67" s="38">
        <f t="shared" si="4"/>
        <v>-4.405364961712621E-13</v>
      </c>
      <c r="E67" s="32">
        <f>HLOOKUP($F$10,'WACOC-Tax Table'!$B$17:$E$58,A68)*$B$30</f>
        <v>0</v>
      </c>
      <c r="F67" s="38">
        <f t="shared" si="5"/>
        <v>-1.2434497875801753E-13</v>
      </c>
      <c r="G67" s="32">
        <f>(E67-C67)*$F$11</f>
        <v>0</v>
      </c>
      <c r="H67" s="34">
        <f t="shared" si="6"/>
        <v>-5.3290705182007514E-14</v>
      </c>
      <c r="I67" s="34">
        <f t="shared" si="8"/>
        <v>-4.405364961712621E-13</v>
      </c>
      <c r="J67" s="17">
        <f>'WACOC-Tax Table'!$D$11*I67</f>
        <v>-7.525783644268814E-15</v>
      </c>
      <c r="K67" s="38">
        <f>I67*('WACOC-Tax Table'!$D$12)</f>
        <v>-2.6022490828836456E-14</v>
      </c>
      <c r="L67" s="38">
        <v>0</v>
      </c>
      <c r="M67" s="34">
        <f>$F$12*D67</f>
        <v>0</v>
      </c>
      <c r="N67" s="38">
        <f>($F$11/(1-$F$11))*K67</f>
        <v>-1.51179997453224E-14</v>
      </c>
      <c r="O67" s="32">
        <f t="shared" si="0"/>
        <v>-4.866627421842767E-14</v>
      </c>
      <c r="P67" s="42">
        <f>1/(1+'WACOC-Tax Table'!$D$13)^A67</f>
        <v>0.06616950549262306</v>
      </c>
      <c r="Q67" s="40">
        <f t="shared" si="1"/>
        <v>-3.2202232992017496E-15</v>
      </c>
      <c r="R67" s="34">
        <f t="shared" si="2"/>
        <v>1157.0635514639196</v>
      </c>
      <c r="S67" s="27">
        <f t="shared" si="3"/>
        <v>-4.8666274218427667E-17</v>
      </c>
      <c r="T67" s="21"/>
    </row>
    <row r="68" spans="1:20" ht="12.75" hidden="1">
      <c r="A68" s="2">
        <v>38</v>
      </c>
      <c r="C68" s="38">
        <f>IF(D67&lt;=0.001,0,(1/$F$9)*$B$30)</f>
        <v>0</v>
      </c>
      <c r="D68" s="38">
        <f t="shared" si="4"/>
        <v>-4.405364961712621E-13</v>
      </c>
      <c r="E68" s="32">
        <f>HLOOKUP($F$10,'WACOC-Tax Table'!$B$17:$E$58,A69)*$B$30</f>
        <v>0</v>
      </c>
      <c r="F68" s="38">
        <f t="shared" si="5"/>
        <v>-1.2434497875801753E-13</v>
      </c>
      <c r="G68" s="32">
        <f>(E68-C68)*$F$11</f>
        <v>0</v>
      </c>
      <c r="H68" s="34">
        <f t="shared" si="6"/>
        <v>-5.3290705182007514E-14</v>
      </c>
      <c r="I68" s="34">
        <f t="shared" si="8"/>
        <v>-4.405364961712621E-13</v>
      </c>
      <c r="J68" s="17">
        <f>'WACOC-Tax Table'!$D$11*I68</f>
        <v>-7.525783644268814E-15</v>
      </c>
      <c r="K68" s="38">
        <f>I68*('WACOC-Tax Table'!$D$12)</f>
        <v>-2.6022490828836456E-14</v>
      </c>
      <c r="L68" s="38">
        <v>0</v>
      </c>
      <c r="M68" s="34">
        <f>$F$12*D68</f>
        <v>0</v>
      </c>
      <c r="N68" s="38">
        <f>($F$11/(1-$F$11))*K68</f>
        <v>-1.51179997453224E-14</v>
      </c>
      <c r="O68" s="32">
        <f t="shared" si="0"/>
        <v>-4.866627421842767E-14</v>
      </c>
      <c r="P68" s="42">
        <f>1/(1+'WACOC-Tax Table'!$D$13)^A68</f>
        <v>0.06148706709874898</v>
      </c>
      <c r="Q68" s="40">
        <f t="shared" si="1"/>
        <v>-2.9923464683145798E-15</v>
      </c>
      <c r="R68" s="34">
        <f t="shared" si="2"/>
        <v>1157.0635514639196</v>
      </c>
      <c r="S68" s="27">
        <f t="shared" si="3"/>
        <v>-4.8666274218427667E-17</v>
      </c>
      <c r="T68" s="21"/>
    </row>
    <row r="69" spans="1:20" ht="12.75" hidden="1">
      <c r="A69" s="2">
        <v>39</v>
      </c>
      <c r="C69" s="38">
        <f>IF(D68&lt;=0.001,0,(1/$F$9)*$B$30)</f>
        <v>0</v>
      </c>
      <c r="D69" s="38">
        <f t="shared" si="4"/>
        <v>-4.405364961712621E-13</v>
      </c>
      <c r="E69" s="32">
        <f>HLOOKUP($F$10,'WACOC-Tax Table'!$B$17:$E$58,A70)*$B$30</f>
        <v>0</v>
      </c>
      <c r="F69" s="38">
        <f t="shared" si="5"/>
        <v>-1.2434497875801753E-13</v>
      </c>
      <c r="G69" s="32">
        <f>(E69-C69)*$F$11</f>
        <v>0</v>
      </c>
      <c r="H69" s="34">
        <f t="shared" si="6"/>
        <v>-5.3290705182007514E-14</v>
      </c>
      <c r="I69" s="34">
        <f t="shared" si="8"/>
        <v>-4.405364961712621E-13</v>
      </c>
      <c r="J69" s="17">
        <f>'WACOC-Tax Table'!$D$11*I69</f>
        <v>-7.525783644268814E-15</v>
      </c>
      <c r="K69" s="38">
        <f>I69*('WACOC-Tax Table'!$D$12)</f>
        <v>-2.6022490828836456E-14</v>
      </c>
      <c r="L69" s="38">
        <v>0</v>
      </c>
      <c r="M69" s="34">
        <f>$F$12*D69</f>
        <v>0</v>
      </c>
      <c r="N69" s="38">
        <f>($F$11/(1-$F$11))*K69</f>
        <v>-1.51179997453224E-14</v>
      </c>
      <c r="O69" s="32">
        <f t="shared" si="0"/>
        <v>-4.866627421842767E-14</v>
      </c>
      <c r="P69" s="42">
        <f>1/(1+'WACOC-Tax Table'!$D$13)^A69</f>
        <v>0.057135978155791856</v>
      </c>
      <c r="Q69" s="40">
        <f t="shared" si="1"/>
        <v>-2.7805951806678594E-15</v>
      </c>
      <c r="R69" s="34">
        <f t="shared" si="2"/>
        <v>1157.0635514639196</v>
      </c>
      <c r="S69" s="27">
        <f t="shared" si="3"/>
        <v>-4.8666274218427667E-17</v>
      </c>
      <c r="T69" s="21"/>
    </row>
    <row r="70" spans="1:20" ht="12.75" hidden="1">
      <c r="A70" s="2">
        <v>40</v>
      </c>
      <c r="C70" s="38">
        <f>IF(D69&lt;=0.001,0,(1/$F$9)*$B$30)</f>
        <v>0</v>
      </c>
      <c r="D70" s="38">
        <f t="shared" si="4"/>
        <v>-4.405364961712621E-13</v>
      </c>
      <c r="E70" s="32">
        <f>HLOOKUP($F$10,'WACOC-Tax Table'!$B$17:$E$58,A71)*$B$30</f>
        <v>0</v>
      </c>
      <c r="F70" s="38">
        <f t="shared" si="5"/>
        <v>-1.2434497875801753E-13</v>
      </c>
      <c r="G70" s="32">
        <f>(E70-C70)*$F$11</f>
        <v>0</v>
      </c>
      <c r="H70" s="34">
        <f t="shared" si="6"/>
        <v>-5.3290705182007514E-14</v>
      </c>
      <c r="I70" s="34">
        <f t="shared" si="8"/>
        <v>-4.405364961712621E-13</v>
      </c>
      <c r="J70" s="17">
        <f>'WACOC-Tax Table'!$D$11*I70</f>
        <v>-7.525783644268814E-15</v>
      </c>
      <c r="K70" s="38">
        <f>I70*('WACOC-Tax Table'!$D$12)</f>
        <v>-2.6022490828836456E-14</v>
      </c>
      <c r="L70" s="38">
        <v>0</v>
      </c>
      <c r="M70" s="34">
        <f>$F$12*D70</f>
        <v>0</v>
      </c>
      <c r="N70" s="38">
        <f>($F$11/(1-$F$11))*K70</f>
        <v>-1.51179997453224E-14</v>
      </c>
      <c r="O70" s="32">
        <f t="shared" si="0"/>
        <v>-4.866627421842767E-14</v>
      </c>
      <c r="P70" s="42">
        <f>1/(1+'WACOC-Tax Table'!$D$13)^A70</f>
        <v>0.05309279095352303</v>
      </c>
      <c r="Q70" s="43">
        <f t="shared" si="1"/>
        <v>-2.583828323565808E-15</v>
      </c>
      <c r="R70" s="34">
        <f t="shared" si="2"/>
        <v>1157.0635514639196</v>
      </c>
      <c r="S70" s="27">
        <f t="shared" si="3"/>
        <v>-4.8666274218427667E-17</v>
      </c>
      <c r="T70" s="21"/>
    </row>
    <row r="71" spans="1:17" ht="12.75" hidden="1">
      <c r="A71" s="2">
        <v>41</v>
      </c>
      <c r="Q71" s="34">
        <f>SUM(Q30:Q70)</f>
        <v>1157.0635514639196</v>
      </c>
    </row>
    <row r="72" ht="12.75">
      <c r="Q72" s="34">
        <f>SUM(Q30:Q60)</f>
        <v>1157.0635514639196</v>
      </c>
    </row>
  </sheetData>
  <sheetProtection/>
  <printOptions/>
  <pageMargins left="1" right="0.75" top="1" bottom="1" header="0.5" footer="0.5"/>
  <pageSetup horizontalDpi="600" verticalDpi="600" orientation="portrait" scale="80" r:id="rId1"/>
  <headerFooter differentOddEven="1" differentFirst="1" alignWithMargins="0">
    <evenHeader>&amp;R&amp;"Times New Roman,Bold"&amp;12Conroy Exhibit M1
Page 5 of 5</evenHeader>
    <firstHeader>&amp;R&amp;"Times New Roman,Bold"&amp;12Conroy Exhibit M1
Page 4 of 5</first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Carol Foxworthy</cp:lastModifiedBy>
  <cp:lastPrinted>2012-06-19T14:08:53Z</cp:lastPrinted>
  <dcterms:created xsi:type="dcterms:W3CDTF">2008-07-02T22:21:05Z</dcterms:created>
  <dcterms:modified xsi:type="dcterms:W3CDTF">2012-06-19T14:12:04Z</dcterms:modified>
  <cp:category/>
  <cp:version/>
  <cp:contentType/>
  <cp:contentStatus/>
</cp:coreProperties>
</file>